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kei-i\Desktop\HP作製\〇３土地評価明細書\作業用\"/>
    </mc:Choice>
  </mc:AlternateContent>
  <workbookProtection workbookAlgorithmName="SHA-512" workbookHashValue="fWfXPAvVTNQncYubxmAki5MslIZ3Q4Ok7dl3n/CzNhHqTuXXmmEH7XDo4q2WO5dID4gmuydX+LuuqEGkLo4p9w==" workbookSaltValue="DJGh/5lS8P+FpAKupwabtg==" workbookSpinCount="100000" lockStructure="1"/>
  <bookViews>
    <workbookView xWindow="15435" yWindow="-15" windowWidth="7755" windowHeight="13170" activeTab="1"/>
  </bookViews>
  <sheets>
    <sheet name="使用方法・注意事項等" sheetId="6" r:id="rId1"/>
    <sheet name="土地の評価明細書１" sheetId="3" r:id="rId2"/>
    <sheet name="土地の評価明細書２" sheetId="2" r:id="rId3"/>
    <sheet name="補正率表" sheetId="5" r:id="rId4"/>
  </sheets>
  <definedNames>
    <definedName name="_xlnm.Print_Area" localSheetId="0">使用方法・注意事項等!$B$46:$V$163</definedName>
    <definedName name="_xlnm.Print_Area" localSheetId="1">土地の評価明細書１!$B$11:$AL$90</definedName>
    <definedName name="_xlnm.Print_Area" localSheetId="2">土地の評価明細書２!$B$1:$Z$61</definedName>
    <definedName name="かげ地割合">土地の評価明細書１!$X$47</definedName>
    <definedName name="奥行距離">土地の評価明細書１!$P$6</definedName>
    <definedName name="価額Ａ">土地の評価明細書１!$AD$26</definedName>
    <definedName name="価額Ｂ">土地の評価明細書１!$AD$29</definedName>
    <definedName name="価額Ｃ">土地の評価明細書１!$AD$32</definedName>
    <definedName name="価額Ｄ">土地の評価明細書１!$AD$35</definedName>
    <definedName name="価額Ｅ">土地の評価明細書１!$AD$38</definedName>
    <definedName name="価額Ｆ">土地の評価明細書１!$AD$41</definedName>
    <definedName name="価額G">土地の評価明細書１!$AD$55</definedName>
    <definedName name="価額H">土地の評価明細書１!$AD$63</definedName>
    <definedName name="価額I">土地の評価明細書１!$AD$69</definedName>
    <definedName name="価額Ｊ">土地の評価明細書１!$AD$72</definedName>
    <definedName name="価額Ｋ">土地の評価明細書１!$AD$79</definedName>
    <definedName name="価額Ｌ">土地の評価明細書１!$AD$82</definedName>
    <definedName name="価額Ｍ">土地の評価明細書１!$AC$86</definedName>
    <definedName name="価額Ｎ">土地の評価明細書２!$W$3</definedName>
    <definedName name="価額Ｏ">土地の評価明細書２!$W$7</definedName>
    <definedName name="価額Ｐ">土地の評価明細書２!$W$9</definedName>
    <definedName name="価額Ｒ">土地の評価明細書２!$W$17</definedName>
    <definedName name="価額Ｓ">土地の評価明細書２!$W$20</definedName>
    <definedName name="価額Ｕ">土地の評価明細書２!$W$29</definedName>
    <definedName name="価額Ｖ">土地の評価明細書２!$W$32</definedName>
    <definedName name="価額Ｗ">土地の評価明細書２!$W$35</definedName>
    <definedName name="価額Ｘ">土地の評価明細書２!$W$38</definedName>
    <definedName name="価額Ｙ">土地の評価明細書２!$W$41</definedName>
    <definedName name="価額Ｚ">土地の評価明細書２!$W$44</definedName>
    <definedName name="間口距離">土地の評価明細書１!$N$6</definedName>
    <definedName name="正面路線価">土地の評価明細書１!$E$6</definedName>
    <definedName name="側方１準角地">土地の評価明細書１!$AA$7</definedName>
    <definedName name="側方２準角地">土地の評価明細書１!$AA$8</definedName>
    <definedName name="側方路線価１">土地の評価明細書１!$E$7</definedName>
    <definedName name="側方路線価２">土地の評価明細書１!$E$8</definedName>
    <definedName name="地区区分">土地の評価明細書１!$J$6</definedName>
    <definedName name="都計地積割合">土地の評価明細書２!$AC$7</definedName>
    <definedName name="都計道路地積">土地の評価明細書２!$AB$7</definedName>
    <definedName name="不整形地区分">土地の評価明細書１!$Y$42</definedName>
    <definedName name="容積率">土地の評価明細書２!$AA$7</definedName>
    <definedName name="利用区分">土地の評価明細書１!$M$3</definedName>
    <definedName name="裏面路線価">土地の評価明細書１!$E$9</definedName>
  </definedNames>
  <calcPr calcId="152511"/>
</workbook>
</file>

<file path=xl/calcChain.xml><?xml version="1.0" encoding="utf-8"?>
<calcChain xmlns="http://schemas.openxmlformats.org/spreadsheetml/2006/main">
  <c r="R36" i="3" l="1"/>
  <c r="R33" i="3"/>
  <c r="R30" i="3"/>
  <c r="AV82" i="3"/>
  <c r="AV81" i="3"/>
  <c r="AV80" i="3"/>
  <c r="O27" i="3" l="1"/>
  <c r="M6" i="3" l="1"/>
  <c r="W19" i="3" l="1"/>
  <c r="W20" i="3"/>
  <c r="C20" i="3" l="1"/>
  <c r="C19" i="3"/>
  <c r="E18" i="3"/>
  <c r="E19" i="3"/>
  <c r="C18" i="3" l="1"/>
  <c r="AM87" i="3" l="1"/>
  <c r="I11" i="2" s="1"/>
  <c r="X86" i="3"/>
  <c r="O87" i="3"/>
  <c r="O86" i="3"/>
  <c r="H19" i="3"/>
  <c r="AM75" i="3" l="1"/>
  <c r="O77" i="3" s="1"/>
  <c r="AM73" i="3"/>
  <c r="I77" i="3" s="1"/>
  <c r="S86" i="3"/>
  <c r="Y42" i="3"/>
  <c r="O89" i="3"/>
  <c r="U77" i="3" l="1"/>
  <c r="O73" i="3" s="1"/>
  <c r="X54" i="3"/>
  <c r="D11" i="2" l="1"/>
  <c r="R9" i="3"/>
  <c r="R7" i="3"/>
  <c r="T39" i="3"/>
  <c r="O39" i="3"/>
  <c r="V36" i="3"/>
  <c r="V33" i="3"/>
  <c r="V30" i="3"/>
  <c r="R8" i="3"/>
  <c r="AT6" i="3"/>
  <c r="Y36" i="3" l="1"/>
  <c r="X36" i="3" l="1"/>
  <c r="Z36" i="3"/>
  <c r="AS8" i="3"/>
  <c r="AS9" i="3"/>
  <c r="AS7" i="3"/>
  <c r="AT9" i="3"/>
  <c r="AT8" i="3"/>
  <c r="AT7" i="3"/>
  <c r="AA33" i="3"/>
  <c r="Y33" i="3"/>
  <c r="L33" i="3"/>
  <c r="W32" i="3"/>
  <c r="M32" i="3"/>
  <c r="AA36" i="3"/>
  <c r="AA30" i="3"/>
  <c r="Y30" i="3"/>
  <c r="L30" i="3"/>
  <c r="W29" i="3"/>
  <c r="M29" i="3"/>
  <c r="S19" i="3"/>
  <c r="O19" i="3"/>
  <c r="E24" i="3"/>
  <c r="E22" i="3"/>
  <c r="S20" i="3"/>
  <c r="O20" i="3"/>
  <c r="L20" i="3"/>
  <c r="X30" i="3" l="1"/>
  <c r="Z30" i="3"/>
  <c r="X33" i="3"/>
  <c r="Z33" i="3"/>
  <c r="O60" i="3"/>
  <c r="G60" i="3"/>
  <c r="L60" i="3"/>
  <c r="L36" i="3"/>
  <c r="W35" i="3"/>
  <c r="M35" i="3"/>
  <c r="Q60" i="3" l="1"/>
  <c r="N56" i="3" s="1"/>
  <c r="AN82" i="3" l="1"/>
  <c r="W21" i="3"/>
  <c r="X60" i="3"/>
  <c r="M9" i="3"/>
  <c r="M8" i="3"/>
  <c r="M7" i="3"/>
  <c r="AD7" i="2"/>
  <c r="W22" i="3"/>
  <c r="W23" i="3"/>
  <c r="S22" i="3"/>
  <c r="S21" i="3"/>
  <c r="S24" i="3"/>
  <c r="S23" i="3"/>
  <c r="M11" i="2" l="1"/>
  <c r="W9" i="2" s="1"/>
  <c r="AT91" i="3" s="1"/>
  <c r="AJ89" i="3" l="1"/>
  <c r="AO81" i="3" l="1"/>
  <c r="AO80" i="3"/>
  <c r="AO79" i="3"/>
  <c r="AN83" i="3" l="1"/>
  <c r="AC7" i="2"/>
  <c r="L7" i="2" s="1"/>
  <c r="P80" i="3" l="1"/>
  <c r="M3" i="3" l="1"/>
  <c r="H33" i="2" l="1"/>
  <c r="H36" i="2"/>
  <c r="L40" i="2"/>
  <c r="N24" i="3"/>
  <c r="N21" i="3"/>
  <c r="I24" i="3"/>
  <c r="I22" i="3"/>
  <c r="I21" i="3"/>
  <c r="I23" i="3"/>
  <c r="N23" i="3"/>
  <c r="N22" i="3"/>
  <c r="O5" i="2"/>
  <c r="L37" i="2"/>
  <c r="AM70" i="3" l="1"/>
  <c r="Q70" i="3" s="1"/>
  <c r="T67" i="3"/>
  <c r="F67" i="3"/>
  <c r="F27" i="3"/>
  <c r="S45" i="3"/>
  <c r="G47" i="3" s="1"/>
  <c r="L47" i="3" l="1"/>
  <c r="AD26" i="3"/>
  <c r="G52" i="3"/>
  <c r="R47" i="3"/>
  <c r="F30" i="3" l="1"/>
  <c r="AD29" i="3" s="1"/>
  <c r="F33" i="3" s="1"/>
  <c r="AD32" i="3" s="1"/>
  <c r="F36" i="3" s="1"/>
  <c r="AD35" i="3" s="1"/>
  <c r="AV79" i="3"/>
  <c r="X47" i="3"/>
  <c r="G50" i="3" s="1"/>
  <c r="R6" i="3"/>
  <c r="M50" i="3"/>
  <c r="M52" i="3"/>
  <c r="R50" i="3" l="1"/>
  <c r="R52" i="3"/>
  <c r="F42" i="3"/>
  <c r="X51" i="3" l="1"/>
  <c r="O42" i="3" s="1"/>
  <c r="F39" i="3"/>
  <c r="AD41" i="3" l="1"/>
  <c r="AD38" i="3"/>
  <c r="F56" i="3" l="1"/>
  <c r="AD55" i="3" s="1"/>
  <c r="P67" i="3" l="1"/>
  <c r="Y67" i="3" s="1"/>
  <c r="O64" i="3" s="1"/>
  <c r="F64" i="3"/>
  <c r="AD63" i="3" l="1"/>
  <c r="F73" i="3" s="1"/>
  <c r="AD72" i="3" s="1"/>
  <c r="F70" i="3" l="1"/>
  <c r="AD69" i="3" s="1"/>
  <c r="F80" i="3" l="1"/>
  <c r="AD79" i="3" s="1"/>
  <c r="G83" i="3" s="1"/>
  <c r="AD82" i="3" s="1"/>
  <c r="I86" i="3" l="1"/>
  <c r="E86" i="3" s="1"/>
  <c r="AC86" i="3" l="1"/>
  <c r="F3" i="2" l="1"/>
  <c r="J3" i="2" s="1"/>
  <c r="W3" i="2" s="1"/>
  <c r="AT89" i="3" s="1"/>
  <c r="F7" i="2" l="1"/>
  <c r="W7" i="2" s="1"/>
  <c r="G21" i="2" s="1"/>
  <c r="W20" i="2" s="1"/>
  <c r="AT93" i="3" s="1"/>
  <c r="G19" i="2"/>
  <c r="W17" i="2" s="1"/>
  <c r="AT92" i="3" s="1"/>
  <c r="G30" i="2" l="1"/>
  <c r="W29" i="2" s="1"/>
  <c r="AT94" i="3" s="1"/>
  <c r="AT90" i="3"/>
  <c r="W32" i="2"/>
  <c r="W35" i="2"/>
  <c r="AT96" i="3" s="1"/>
  <c r="G37" i="2" l="1"/>
  <c r="G34" i="2"/>
  <c r="G40" i="2"/>
  <c r="W38" i="2" s="1"/>
  <c r="AT95" i="3"/>
  <c r="G43" i="2" l="1"/>
  <c r="W41" i="2" s="1"/>
  <c r="AT98" i="3" s="1"/>
  <c r="AT97" i="3"/>
  <c r="AD89" i="3"/>
</calcChain>
</file>

<file path=xl/comments1.xml><?xml version="1.0" encoding="utf-8"?>
<comments xmlns="http://schemas.openxmlformats.org/spreadsheetml/2006/main">
  <authors>
    <author>今村圭一</author>
    <author>kei</author>
  </authors>
  <commentList>
    <comment ref="U3" authorId="0" shapeId="0">
      <text>
        <r>
          <rPr>
            <b/>
            <sz val="7"/>
            <color indexed="81"/>
            <rFont val="ＭＳ Ｐゴシック"/>
            <family val="3"/>
            <charset val="128"/>
          </rPr>
          <t>持分がない（単独所有の）場合には、持分欄は空欄にしてください</t>
        </r>
      </text>
    </comment>
    <comment ref="X3" authorId="0" shapeId="0">
      <text>
        <r>
          <rPr>
            <b/>
            <sz val="7"/>
            <color indexed="81"/>
            <rFont val="ＭＳ Ｐゴシック"/>
            <family val="3"/>
            <charset val="128"/>
          </rPr>
          <t>持分がない（単独所有の）場合には、持分欄は空欄にしてください</t>
        </r>
      </text>
    </comment>
    <comment ref="P7" authorId="0" shapeId="0">
      <text>
        <r>
          <rPr>
            <b/>
            <sz val="7"/>
            <color indexed="81"/>
            <rFont val="ＭＳ Ｐゴシック"/>
            <family val="3"/>
            <charset val="128"/>
          </rPr>
          <t xml:space="preserve">側方・裏面路線価を入れた場合には、その路線からの奥行距離を必ず入れてください。
</t>
        </r>
        <r>
          <rPr>
            <b/>
            <sz val="6.5"/>
            <color indexed="81"/>
            <rFont val="ＭＳ Ｐゴシック"/>
            <family val="3"/>
            <charset val="128"/>
          </rPr>
          <t>（入力していないとセルが赤表示されます）</t>
        </r>
      </text>
    </comment>
    <comment ref="R7" authorId="0" shapeId="0">
      <text>
        <r>
          <rPr>
            <b/>
            <sz val="8"/>
            <color indexed="81"/>
            <rFont val="ＭＳ Ｐゴシック"/>
            <family val="3"/>
            <charset val="128"/>
          </rPr>
          <t>セルが赤表示された場合は、正面路線の判定が誤っています。（側方又は裏面の方が正面より高い）
正面路線を入れ替えてください。</t>
        </r>
      </text>
    </comment>
    <comment ref="E8" authorId="0" shapeId="0">
      <text>
        <r>
          <rPr>
            <b/>
            <sz val="8"/>
            <color indexed="81"/>
            <rFont val="ＭＳ Ｐゴシック"/>
            <family val="3"/>
            <charset val="128"/>
          </rPr>
          <t>側方路線がひとつのみの場合には上段（①）に記入してください</t>
        </r>
      </text>
    </comment>
    <comment ref="P8" authorId="0" shapeId="0">
      <text>
        <r>
          <rPr>
            <b/>
            <sz val="7"/>
            <color indexed="81"/>
            <rFont val="ＭＳ Ｐゴシック"/>
            <family val="3"/>
            <charset val="128"/>
          </rPr>
          <t>側方・裏面路線価を入れた場合には、その路線からの奥行距離を必ず入れてください。</t>
        </r>
      </text>
    </comment>
    <comment ref="R8" authorId="0" shapeId="0">
      <text>
        <r>
          <rPr>
            <b/>
            <sz val="8"/>
            <color indexed="81"/>
            <rFont val="ＭＳ Ｐゴシック"/>
            <family val="3"/>
            <charset val="128"/>
          </rPr>
          <t>セルが赤表示された場合は、正面路線の判定が誤っています。（側方又は裏面の方が正面より高い）
正面路線を入れ替えてください。</t>
        </r>
      </text>
    </comment>
    <comment ref="P9" authorId="0" shapeId="0">
      <text>
        <r>
          <rPr>
            <b/>
            <sz val="7"/>
            <color indexed="81"/>
            <rFont val="ＭＳ Ｐゴシック"/>
            <family val="3"/>
            <charset val="128"/>
          </rPr>
          <t>側方・裏面路線価を入れた場合には、その路線からの奥行距離を必ず入れてください。</t>
        </r>
      </text>
    </comment>
    <comment ref="R9" authorId="0" shapeId="0">
      <text>
        <r>
          <rPr>
            <b/>
            <sz val="8"/>
            <color indexed="81"/>
            <rFont val="ＭＳ Ｐゴシック"/>
            <family val="3"/>
            <charset val="128"/>
          </rPr>
          <t>セルが赤表示された場合は、正面路線の判定が誤っています。（側方又は裏面の方が正面より高い）
正面路線を入れ替えてください。</t>
        </r>
      </text>
    </comment>
    <comment ref="W19" authorId="1" shapeId="0">
      <text>
        <r>
          <rPr>
            <b/>
            <sz val="8"/>
            <color indexed="81"/>
            <rFont val="ＭＳ Ｐゴシック"/>
            <family val="3"/>
            <charset val="128"/>
          </rPr>
          <t>画面上の文字が潰れて見えない時は表示倍率を大きくしてみてください</t>
        </r>
      </text>
    </comment>
    <comment ref="AM54" authorId="0" shapeId="0">
      <text>
        <r>
          <rPr>
            <b/>
            <sz val="7"/>
            <color indexed="81"/>
            <rFont val="ＭＳ Ｐゴシック"/>
            <family val="3"/>
            <charset val="128"/>
          </rPr>
          <t xml:space="preserve">下記の5つの要件に該当するか確認のうえ、該当する場合には「三大都市圏」かそれ以外にチェックしてください
</t>
        </r>
        <r>
          <rPr>
            <b/>
            <sz val="7"/>
            <color indexed="10"/>
            <rFont val="ＭＳ Ｐゴシック"/>
            <family val="3"/>
            <charset val="128"/>
          </rPr>
          <t>「地積」や「地区区分」による自動判定機能はありませんので、注意してください</t>
        </r>
      </text>
    </comment>
    <comment ref="R68" authorId="0" shapeId="0">
      <text>
        <r>
          <rPr>
            <b/>
            <sz val="8"/>
            <color indexed="81"/>
            <rFont val="ＭＳ Ｐゴシック"/>
            <family val="3"/>
            <charset val="128"/>
          </rPr>
          <t>がけ地の方位をリストから選んでください</t>
        </r>
      </text>
    </comment>
    <comment ref="Y69" authorId="0" shapeId="0">
      <text>
        <r>
          <rPr>
            <sz val="7"/>
            <color indexed="81"/>
            <rFont val="ＭＳ Ｐゴシック"/>
            <family val="3"/>
            <charset val="128"/>
          </rPr>
          <t xml:space="preserve">がけ地部分の地積を入力
</t>
        </r>
        <r>
          <rPr>
            <b/>
            <sz val="7"/>
            <color indexed="10"/>
            <rFont val="ＭＳ Ｐゴシック"/>
            <family val="3"/>
            <charset val="128"/>
          </rPr>
          <t>※土砂災害特別警戒区域内にある宅地の場合には、ここに入力せず、下欄8-2に入れてください</t>
        </r>
      </text>
    </comment>
    <comment ref="Y72" authorId="0" shapeId="0">
      <text>
        <r>
          <rPr>
            <sz val="7"/>
            <color indexed="81"/>
            <rFont val="ＭＳ Ｐゴシック"/>
            <family val="3"/>
            <charset val="128"/>
          </rPr>
          <t>特別警戒区域部分の地積を入力</t>
        </r>
      </text>
    </comment>
    <comment ref="R75" authorId="0" shapeId="0">
      <text>
        <r>
          <rPr>
            <b/>
            <sz val="8"/>
            <color indexed="81"/>
            <rFont val="ＭＳ Ｐゴシック"/>
            <family val="3"/>
            <charset val="128"/>
          </rPr>
          <t>がけ地の方位をリストから選んでください</t>
        </r>
      </text>
    </comment>
    <comment ref="Y75" authorId="0" shapeId="0">
      <text>
        <r>
          <rPr>
            <sz val="7"/>
            <color indexed="81"/>
            <rFont val="ＭＳ Ｐゴシック"/>
            <family val="3"/>
            <charset val="128"/>
          </rPr>
          <t xml:space="preserve">がけ地部分の地積を入力
</t>
        </r>
        <r>
          <rPr>
            <b/>
            <sz val="7"/>
            <color indexed="10"/>
            <rFont val="ＭＳ Ｐゴシック"/>
            <family val="3"/>
            <charset val="128"/>
          </rPr>
          <t>※土砂災害特別警戒区域内にある宅地の場合のみここに入力し、そうでない場合は上欄8-1に入れてください</t>
        </r>
      </text>
    </comment>
    <comment ref="AM79" authorId="0" shapeId="0">
      <text>
        <r>
          <rPr>
            <b/>
            <sz val="8"/>
            <color indexed="81"/>
            <rFont val="ＭＳ Ｐゴシック"/>
            <family val="3"/>
            <charset val="128"/>
          </rPr>
          <t>正面路線に接する部分のものを最上段に記入してください</t>
        </r>
      </text>
    </comment>
    <comment ref="AN79" authorId="0" shapeId="0">
      <text>
        <r>
          <rPr>
            <b/>
            <sz val="8"/>
            <color indexed="81"/>
            <rFont val="ＭＳ Ｐゴシック"/>
            <family val="3"/>
            <charset val="128"/>
          </rPr>
          <t>正面路線に接する部分のものを最上段に記入してください</t>
        </r>
      </text>
    </comment>
    <comment ref="P80" authorId="0" shapeId="0">
      <text>
        <r>
          <rPr>
            <b/>
            <sz val="7"/>
            <color indexed="81"/>
            <rFont val="ＭＳ Ｐゴシック"/>
            <family val="3"/>
            <charset val="128"/>
          </rPr>
          <t xml:space="preserve">セルが赤反転した場合には、正面路線が違っています。入力シートの正面路線を入れ変えてください。
</t>
        </r>
        <r>
          <rPr>
            <sz val="6"/>
            <color indexed="81"/>
            <rFont val="ＭＳ Ｐゴシック"/>
            <family val="3"/>
            <charset val="128"/>
          </rPr>
          <t>（奥行補正後の正面路線価から容積率補正の控除をした価額が、奥行補正後の側方又は裏面路線価を下回る場合は、そのうち最も高い価額の路線を正面路線とみなします。）</t>
        </r>
      </text>
    </comment>
  </commentList>
</comments>
</file>

<file path=xl/comments2.xml><?xml version="1.0" encoding="utf-8"?>
<comments xmlns="http://schemas.openxmlformats.org/spreadsheetml/2006/main">
  <authors>
    <author>今村圭一</author>
  </authors>
  <commentList>
    <comment ref="O3" authorId="0" shapeId="0">
      <text>
        <r>
          <rPr>
            <b/>
            <sz val="8"/>
            <color indexed="81"/>
            <rFont val="ＭＳ Ｐゴシック"/>
            <family val="3"/>
            <charset val="128"/>
          </rPr>
          <t>この欄は、共有土地の場合でも、持分を掛ける前の該当地積を入力してください</t>
        </r>
      </text>
    </comment>
    <comment ref="AA7" authorId="0" shapeId="0">
      <text>
        <r>
          <rPr>
            <b/>
            <sz val="8"/>
            <color indexed="81"/>
            <rFont val="ＭＳ Ｐゴシック"/>
            <family val="3"/>
            <charset val="128"/>
          </rPr>
          <t>容積率の異なる地域にわたる宅地の場合には、</t>
        </r>
        <r>
          <rPr>
            <b/>
            <u/>
            <sz val="8"/>
            <color indexed="81"/>
            <rFont val="ＭＳ Ｐゴシック"/>
            <family val="3"/>
            <charset val="128"/>
          </rPr>
          <t>加重平均容積率</t>
        </r>
        <r>
          <rPr>
            <b/>
            <sz val="8"/>
            <color indexed="81"/>
            <rFont val="ＭＳ Ｐゴシック"/>
            <family val="3"/>
            <charset val="128"/>
          </rPr>
          <t>を入力します</t>
        </r>
      </text>
    </comment>
    <comment ref="AB7" authorId="0" shapeId="0">
      <text>
        <r>
          <rPr>
            <b/>
            <sz val="8"/>
            <color indexed="81"/>
            <rFont val="ＭＳ Ｐゴシック"/>
            <family val="3"/>
            <charset val="128"/>
          </rPr>
          <t>この欄は、共有土地の場合でも、持分を掛ける前の該当地積を入力してください</t>
        </r>
      </text>
    </comment>
    <comment ref="L37" authorId="0" shapeId="0">
      <text>
        <r>
          <rPr>
            <b/>
            <sz val="8"/>
            <color indexed="81"/>
            <rFont val="ＭＳ Ｐ明朝"/>
            <family val="1"/>
            <charset val="128"/>
          </rPr>
          <t>Ｕ</t>
        </r>
        <r>
          <rPr>
            <b/>
            <sz val="8"/>
            <color indexed="81"/>
            <rFont val="ＭＳ Ｐゴシック"/>
            <family val="3"/>
            <charset val="128"/>
          </rPr>
          <t>の借地権の欄の借地権割合を入力してください。</t>
        </r>
      </text>
    </comment>
    <comment ref="L40" authorId="0" shapeId="0">
      <text>
        <r>
          <rPr>
            <b/>
            <sz val="8"/>
            <color indexed="81"/>
            <rFont val="ＭＳ Ｐ明朝"/>
            <family val="1"/>
            <charset val="128"/>
          </rPr>
          <t>Ｕ</t>
        </r>
        <r>
          <rPr>
            <b/>
            <sz val="8"/>
            <color indexed="81"/>
            <rFont val="ＭＳ Ｐゴシック"/>
            <family val="3"/>
            <charset val="128"/>
          </rPr>
          <t>の借地権の欄の借地権割合を入力してください。</t>
        </r>
      </text>
    </comment>
  </commentList>
</comments>
</file>

<file path=xl/sharedStrings.xml><?xml version="1.0" encoding="utf-8"?>
<sst xmlns="http://schemas.openxmlformats.org/spreadsheetml/2006/main" count="1000" uniqueCount="616">
  <si>
    <t>の　評　価　額</t>
    <rPh sb="2" eb="3">
      <t>ヒョウ</t>
    </rPh>
    <rPh sb="4" eb="5">
      <t>アタイ</t>
    </rPh>
    <rPh sb="6" eb="7">
      <t>ガク</t>
    </rPh>
    <phoneticPr fontId="2"/>
  </si>
  <si>
    <t>利用区分</t>
    <rPh sb="0" eb="2">
      <t>リヨウ</t>
    </rPh>
    <rPh sb="2" eb="4">
      <t>クブン</t>
    </rPh>
    <phoneticPr fontId="2"/>
  </si>
  <si>
    <t>円</t>
    <rPh sb="0" eb="1">
      <t>エン</t>
    </rPh>
    <phoneticPr fontId="2"/>
  </si>
  <si>
    <t>（総地積）</t>
    <rPh sb="1" eb="4">
      <t>ソウチセキ</t>
    </rPh>
    <phoneticPr fontId="2"/>
  </si>
  <si>
    <t>（補正率）</t>
    <rPh sb="1" eb="4">
      <t>ホセイリツ</t>
    </rPh>
    <phoneticPr fontId="2"/>
  </si>
  <si>
    <t>（正面路線価）</t>
    <rPh sb="1" eb="3">
      <t>ショウメン</t>
    </rPh>
    <rPh sb="3" eb="5">
      <t>ロセン</t>
    </rPh>
    <rPh sb="5" eb="6">
      <t>カ</t>
    </rPh>
    <phoneticPr fontId="2"/>
  </si>
  <si>
    <t>円×</t>
    <rPh sb="0" eb="1">
      <t>エン</t>
    </rPh>
    <phoneticPr fontId="2"/>
  </si>
  <si>
    <t>（地積が20万㎡以上の場合は0.95）</t>
    <rPh sb="1" eb="3">
      <t>チセキ</t>
    </rPh>
    <rPh sb="6" eb="7">
      <t>マン</t>
    </rPh>
    <rPh sb="8" eb="10">
      <t>イジョウ</t>
    </rPh>
    <rPh sb="11" eb="13">
      <t>バアイ</t>
    </rPh>
    <phoneticPr fontId="2"/>
  </si>
  <si>
    <t>㎡×</t>
    <phoneticPr fontId="2"/>
  </si>
  <si>
    <t>○　ゴルフ場用地等</t>
    <rPh sb="5" eb="6">
      <t>ジョウ</t>
    </rPh>
    <rPh sb="6" eb="8">
      <t>ヨウチ</t>
    </rPh>
    <rPh sb="8" eb="9">
      <t>トウ</t>
    </rPh>
    <phoneticPr fontId="2"/>
  </si>
  <si>
    <t>1㎡当たり</t>
    <rPh sb="2" eb="3">
      <t>ア</t>
    </rPh>
    <phoneticPr fontId="2"/>
  </si>
  <si>
    <t>（宅地とした場合の価額）</t>
    <rPh sb="1" eb="3">
      <t>タクチ</t>
    </rPh>
    <rPh sb="6" eb="8">
      <t>バアイ</t>
    </rPh>
    <rPh sb="9" eb="11">
      <t>カガク</t>
    </rPh>
    <phoneticPr fontId="2"/>
  </si>
  <si>
    <t>の造成費</t>
    <rPh sb="1" eb="3">
      <t>ゾウセイ</t>
    </rPh>
    <rPh sb="3" eb="4">
      <t>ヒ</t>
    </rPh>
    <phoneticPr fontId="2"/>
  </si>
  <si>
    <t>㎡×0.6）－（</t>
    <phoneticPr fontId="2"/>
  </si>
  <si>
    <t>㎡）</t>
    <phoneticPr fontId="2"/>
  </si>
  <si>
    <t>総　　　　額　　　　計　　　　算　　　　に　　　　よ　　　　る　　　　価　　　　額</t>
    <rPh sb="0" eb="1">
      <t>フサ</t>
    </rPh>
    <rPh sb="5" eb="6">
      <t>ガク</t>
    </rPh>
    <rPh sb="10" eb="11">
      <t>ケイ</t>
    </rPh>
    <rPh sb="15" eb="16">
      <t>サン</t>
    </rPh>
    <rPh sb="35" eb="36">
      <t>アタイ</t>
    </rPh>
    <rPh sb="40" eb="41">
      <t>ガク</t>
    </rPh>
    <phoneticPr fontId="2"/>
  </si>
  <si>
    <t>（自用地の評価額）</t>
    <rPh sb="1" eb="4">
      <t>ジヨウチ</t>
    </rPh>
    <rPh sb="5" eb="8">
      <t>ヒョウカガク</t>
    </rPh>
    <phoneticPr fontId="2"/>
  </si>
  <si>
    <t>円×</t>
    <rPh sb="0" eb="2">
      <t>エンカケル</t>
    </rPh>
    <phoneticPr fontId="2"/>
  </si>
  <si>
    <t>（該当地積）</t>
    <rPh sb="1" eb="5">
      <t>ガイトウチセキ</t>
    </rPh>
    <phoneticPr fontId="2"/>
  </si>
  <si>
    <t>ている土地</t>
    <rPh sb="3" eb="5">
      <t>トチ</t>
    </rPh>
    <phoneticPr fontId="2"/>
  </si>
  <si>
    <t>割合）</t>
    <rPh sb="0" eb="2">
      <t>ワリアイ</t>
    </rPh>
    <phoneticPr fontId="2"/>
  </si>
  <si>
    <t>権の</t>
    <rPh sb="0" eb="1">
      <t>ケン</t>
    </rPh>
    <phoneticPr fontId="2"/>
  </si>
  <si>
    <t>借地権</t>
    <rPh sb="0" eb="3">
      <t>シャクチケン</t>
    </rPh>
    <phoneticPr fontId="2"/>
  </si>
  <si>
    <t>転貸借地権</t>
    <rPh sb="0" eb="1">
      <t>テン</t>
    </rPh>
    <rPh sb="1" eb="2">
      <t>タイ</t>
    </rPh>
    <rPh sb="2" eb="5">
      <t>シャクチケン</t>
    </rPh>
    <phoneticPr fontId="2"/>
  </si>
  <si>
    <t>大規模工場用地等</t>
    <rPh sb="0" eb="3">
      <t>ダイキボ</t>
    </rPh>
    <rPh sb="3" eb="5">
      <t>コウジョウ</t>
    </rPh>
    <rPh sb="5" eb="7">
      <t>ヨウチ</t>
    </rPh>
    <rPh sb="7" eb="8">
      <t>トウ</t>
    </rPh>
    <phoneticPr fontId="2"/>
  </si>
  <si>
    <t>○　大規模工場用地等</t>
    <rPh sb="2" eb="5">
      <t>ダイキボ</t>
    </rPh>
    <rPh sb="5" eb="8">
      <t>コウジョウヨウ</t>
    </rPh>
    <rPh sb="8" eb="9">
      <t>チ</t>
    </rPh>
    <rPh sb="9" eb="10">
      <t>トウ</t>
    </rPh>
    <phoneticPr fontId="2"/>
  </si>
  <si>
    <t>（地積）</t>
    <rPh sb="1" eb="3">
      <t>チセキ</t>
    </rPh>
    <phoneticPr fontId="2"/>
  </si>
  <si>
    <t>算　　　　　　　　　　　　　　　　式</t>
    <rPh sb="0" eb="1">
      <t>ザン</t>
    </rPh>
    <rPh sb="17" eb="18">
      <t>シキ</t>
    </rPh>
    <phoneticPr fontId="2"/>
  </si>
  <si>
    <t>総　　　　　額</t>
    <rPh sb="0" eb="1">
      <t>フサ</t>
    </rPh>
    <rPh sb="6" eb="7">
      <t>ガク</t>
    </rPh>
    <phoneticPr fontId="2"/>
  </si>
  <si>
    <t>記号</t>
    <rPh sb="0" eb="2">
      <t>キゴウ</t>
    </rPh>
    <phoneticPr fontId="2"/>
  </si>
  <si>
    <t>貸宅地</t>
    <rPh sb="0" eb="1">
      <t>タイ</t>
    </rPh>
    <rPh sb="1" eb="3">
      <t>タクチ</t>
    </rPh>
    <phoneticPr fontId="2"/>
  </si>
  <si>
    <t>（自用地の評価額）</t>
    <rPh sb="1" eb="2">
      <t>ジ</t>
    </rPh>
    <rPh sb="2" eb="4">
      <t>ヨウチ</t>
    </rPh>
    <rPh sb="5" eb="8">
      <t>ヒョウカガク</t>
    </rPh>
    <phoneticPr fontId="2"/>
  </si>
  <si>
    <t>(借地権割合）</t>
    <rPh sb="1" eb="4">
      <t>シャクチケン</t>
    </rPh>
    <rPh sb="4" eb="6">
      <t>ワリアイ</t>
    </rPh>
    <phoneticPr fontId="2"/>
  </si>
  <si>
    <t>貸家建付地</t>
    <rPh sb="0" eb="1">
      <t>タイ</t>
    </rPh>
    <rPh sb="1" eb="2">
      <t>イエ</t>
    </rPh>
    <rPh sb="2" eb="4">
      <t>タテツ</t>
    </rPh>
    <rPh sb="4" eb="5">
      <t>チ</t>
    </rPh>
    <phoneticPr fontId="2"/>
  </si>
  <si>
    <t>転借権</t>
    <rPh sb="0" eb="2">
      <t>テンシャク</t>
    </rPh>
    <rPh sb="2" eb="3">
      <t>ケン</t>
    </rPh>
    <phoneticPr fontId="2"/>
  </si>
  <si>
    <t>権</t>
    <rPh sb="0" eb="1">
      <t>ケン</t>
    </rPh>
    <phoneticPr fontId="2"/>
  </si>
  <si>
    <t>権利が競合</t>
    <rPh sb="0" eb="2">
      <t>ケンリ</t>
    </rPh>
    <rPh sb="3" eb="5">
      <t>キョウゴウ</t>
    </rPh>
    <phoneticPr fontId="2"/>
  </si>
  <si>
    <t>する場合の</t>
    <rPh sb="2" eb="4">
      <t>バアイ</t>
    </rPh>
    <phoneticPr fontId="2"/>
  </si>
  <si>
    <t>土地</t>
    <rPh sb="0" eb="2">
      <t>トチ</t>
    </rPh>
    <phoneticPr fontId="2"/>
  </si>
  <si>
    <t>他の権利と</t>
    <rPh sb="0" eb="1">
      <t>タ</t>
    </rPh>
    <rPh sb="2" eb="4">
      <t>ケンリ</t>
    </rPh>
    <phoneticPr fontId="2"/>
  </si>
  <si>
    <t>競合する場</t>
    <rPh sb="0" eb="2">
      <t>キョウゴウ</t>
    </rPh>
    <rPh sb="4" eb="5">
      <t>バ</t>
    </rPh>
    <phoneticPr fontId="2"/>
  </si>
  <si>
    <t>合の権利</t>
    <rPh sb="0" eb="1">
      <t>ゴウ</t>
    </rPh>
    <rPh sb="2" eb="4">
      <t>ケンリ</t>
    </rPh>
    <phoneticPr fontId="2"/>
  </si>
  <si>
    <t>(注）</t>
    <rPh sb="1" eb="2">
      <t>チュウ</t>
    </rPh>
    <phoneticPr fontId="2"/>
  </si>
  <si>
    <t>）</t>
  </si>
  <si>
    <t>×</t>
  </si>
  <si>
    <t>署</t>
    <rPh sb="0" eb="1">
      <t>ショ</t>
    </rPh>
    <phoneticPr fontId="2"/>
  </si>
  <si>
    <t>年分</t>
    <rPh sb="0" eb="2">
      <t>ネンブン</t>
    </rPh>
    <phoneticPr fontId="2"/>
  </si>
  <si>
    <t>(住居表示)</t>
    <rPh sb="1" eb="3">
      <t>ジュウキョ</t>
    </rPh>
    <rPh sb="3" eb="5">
      <t>ヒョウジ</t>
    </rPh>
    <phoneticPr fontId="2"/>
  </si>
  <si>
    <t>所有者</t>
    <rPh sb="0" eb="3">
      <t>ショユウシャ</t>
    </rPh>
    <phoneticPr fontId="2"/>
  </si>
  <si>
    <t>使用者</t>
    <rPh sb="0" eb="3">
      <t>シヨウシャ</t>
    </rPh>
    <phoneticPr fontId="2"/>
  </si>
  <si>
    <t>（所在地）</t>
    <rPh sb="1" eb="4">
      <t>ショザイチ</t>
    </rPh>
    <phoneticPr fontId="2"/>
  </si>
  <si>
    <t>所在地番</t>
    <rPh sb="0" eb="3">
      <t>ショザイチ</t>
    </rPh>
    <rPh sb="3" eb="4">
      <t>バン</t>
    </rPh>
    <phoneticPr fontId="2"/>
  </si>
  <si>
    <t>（法人名）</t>
    <rPh sb="1" eb="3">
      <t>ホウジン</t>
    </rPh>
    <rPh sb="3" eb="4">
      <t>メイ</t>
    </rPh>
    <phoneticPr fontId="2"/>
  </si>
  <si>
    <t>地　　　　　目</t>
    <rPh sb="0" eb="1">
      <t>チ</t>
    </rPh>
    <rPh sb="6" eb="7">
      <t>メ</t>
    </rPh>
    <phoneticPr fontId="2"/>
  </si>
  <si>
    <t>地　　積</t>
    <rPh sb="0" eb="1">
      <t>チ</t>
    </rPh>
    <rPh sb="3" eb="4">
      <t>セキ</t>
    </rPh>
    <phoneticPr fontId="2"/>
  </si>
  <si>
    <t>正　　面</t>
    <rPh sb="0" eb="1">
      <t>セイ</t>
    </rPh>
    <rPh sb="3" eb="4">
      <t>メン</t>
    </rPh>
    <phoneticPr fontId="2"/>
  </si>
  <si>
    <t>側　　方</t>
    <rPh sb="0" eb="1">
      <t>ソク</t>
    </rPh>
    <rPh sb="3" eb="4">
      <t>ホウ</t>
    </rPh>
    <phoneticPr fontId="2"/>
  </si>
  <si>
    <t>裏　　面</t>
    <rPh sb="0" eb="1">
      <t>ウラ</t>
    </rPh>
    <rPh sb="3" eb="4">
      <t>メン</t>
    </rPh>
    <phoneticPr fontId="2"/>
  </si>
  <si>
    <t>間口距離</t>
    <rPh sb="0" eb="2">
      <t>マグチ</t>
    </rPh>
    <rPh sb="2" eb="4">
      <t>キョリ</t>
    </rPh>
    <phoneticPr fontId="2"/>
  </si>
  <si>
    <t>地区区分</t>
    <rPh sb="0" eb="2">
      <t>チク</t>
    </rPh>
    <rPh sb="2" eb="4">
      <t>クブン</t>
    </rPh>
    <phoneticPr fontId="2"/>
  </si>
  <si>
    <t>奥行距離</t>
    <rPh sb="0" eb="2">
      <t>オクユキ</t>
    </rPh>
    <rPh sb="2" eb="4">
      <t>キョリ</t>
    </rPh>
    <phoneticPr fontId="2"/>
  </si>
  <si>
    <t>　一路線に面する宅地</t>
    <rPh sb="1" eb="2">
      <t>イチ</t>
    </rPh>
    <rPh sb="2" eb="4">
      <t>ロセン</t>
    </rPh>
    <rPh sb="5" eb="6">
      <t>メン</t>
    </rPh>
    <rPh sb="8" eb="10">
      <t>タクチ</t>
    </rPh>
    <phoneticPr fontId="2"/>
  </si>
  <si>
    <t>（1㎡当たりの価額）</t>
    <rPh sb="3" eb="4">
      <t>ア</t>
    </rPh>
    <rPh sb="7" eb="9">
      <t>カガク</t>
    </rPh>
    <phoneticPr fontId="2"/>
  </si>
  <si>
    <t>（奥行価格補正率）</t>
    <rPh sb="1" eb="3">
      <t>オクユキ</t>
    </rPh>
    <rPh sb="3" eb="5">
      <t>カカク</t>
    </rPh>
    <rPh sb="5" eb="7">
      <t>ホセイ</t>
    </rPh>
    <rPh sb="7" eb="8">
      <t>リツ</t>
    </rPh>
    <phoneticPr fontId="2"/>
  </si>
  <si>
    <t>　二路線に面する宅地</t>
    <rPh sb="1" eb="2">
      <t>ニ</t>
    </rPh>
    <rPh sb="2" eb="4">
      <t>ロセン</t>
    </rPh>
    <rPh sb="5" eb="6">
      <t>メン</t>
    </rPh>
    <rPh sb="8" eb="10">
      <t>タクチ</t>
    </rPh>
    <phoneticPr fontId="2"/>
  </si>
  <si>
    <t>円＋（</t>
    <rPh sb="0" eb="1">
      <t>エン</t>
    </rPh>
    <phoneticPr fontId="2"/>
  </si>
  <si>
    <t>　三路線に面する宅地</t>
    <rPh sb="1" eb="2">
      <t>サン</t>
    </rPh>
    <rPh sb="2" eb="4">
      <t>ロセン</t>
    </rPh>
    <rPh sb="5" eb="6">
      <t>メン</t>
    </rPh>
    <rPh sb="8" eb="10">
      <t>タクチ</t>
    </rPh>
    <phoneticPr fontId="2"/>
  </si>
  <si>
    <t>　四路線に面する宅地</t>
    <rPh sb="1" eb="2">
      <t>シ</t>
    </rPh>
    <rPh sb="2" eb="4">
      <t>ロセン</t>
    </rPh>
    <rPh sb="5" eb="6">
      <t>メン</t>
    </rPh>
    <rPh sb="8" eb="10">
      <t>タクチ</t>
    </rPh>
    <phoneticPr fontId="2"/>
  </si>
  <si>
    <t>　間口が狭小な宅地等</t>
    <rPh sb="1" eb="3">
      <t>マグチ</t>
    </rPh>
    <rPh sb="4" eb="6">
      <t>キョウショウ</t>
    </rPh>
    <rPh sb="7" eb="9">
      <t>タクチ</t>
    </rPh>
    <rPh sb="9" eb="10">
      <t>ナド</t>
    </rPh>
    <phoneticPr fontId="2"/>
  </si>
  <si>
    <t>（ＡからＤまでのうち該当するもの）</t>
    <rPh sb="10" eb="12">
      <t>ガイトウ</t>
    </rPh>
    <phoneticPr fontId="2"/>
  </si>
  <si>
    <t>　不　　整　　形　　地</t>
    <rPh sb="1" eb="2">
      <t>フ</t>
    </rPh>
    <rPh sb="4" eb="5">
      <t>ヒトシ</t>
    </rPh>
    <rPh sb="7" eb="8">
      <t>カタチ</t>
    </rPh>
    <rPh sb="10" eb="11">
      <t>チ</t>
    </rPh>
    <phoneticPr fontId="2"/>
  </si>
  <si>
    <t>（想定整形地の間口距離）</t>
    <rPh sb="1" eb="6">
      <t>ソウテイセイケイチ</t>
    </rPh>
    <rPh sb="7" eb="11">
      <t>マグチキョリ</t>
    </rPh>
    <phoneticPr fontId="2"/>
  </si>
  <si>
    <t>（想定整形地の奥行距離）</t>
    <rPh sb="1" eb="6">
      <t>ソウテイセイケイチ</t>
    </rPh>
    <rPh sb="7" eb="9">
      <t>オクユキ</t>
    </rPh>
    <rPh sb="9" eb="11">
      <t>マグチキョリ</t>
    </rPh>
    <phoneticPr fontId="2"/>
  </si>
  <si>
    <t>（想定整形地の地積）</t>
    <rPh sb="1" eb="6">
      <t>ソウテイセイケイチ</t>
    </rPh>
    <rPh sb="7" eb="9">
      <t>チセキ</t>
    </rPh>
    <phoneticPr fontId="2"/>
  </si>
  <si>
    <t>（不整形地の地積）</t>
    <rPh sb="1" eb="2">
      <t>フ</t>
    </rPh>
    <rPh sb="2" eb="4">
      <t>セイケイ</t>
    </rPh>
    <rPh sb="4" eb="5">
      <t>チ</t>
    </rPh>
    <rPh sb="6" eb="8">
      <t>チセキ</t>
    </rPh>
    <phoneticPr fontId="2"/>
  </si>
  <si>
    <t>（かげ地割合）</t>
    <rPh sb="3" eb="4">
      <t>チ</t>
    </rPh>
    <rPh sb="4" eb="6">
      <t>ワリアイ</t>
    </rPh>
    <phoneticPr fontId="2"/>
  </si>
  <si>
    <t>不整形地補正率</t>
    <rPh sb="0" eb="1">
      <t>フ</t>
    </rPh>
    <rPh sb="1" eb="3">
      <t>セイケイ</t>
    </rPh>
    <rPh sb="3" eb="4">
      <t>チ</t>
    </rPh>
    <rPh sb="4" eb="6">
      <t>ホセイ</t>
    </rPh>
    <rPh sb="6" eb="7">
      <t>リツ</t>
    </rPh>
    <phoneticPr fontId="2"/>
  </si>
  <si>
    <t>（不整形地補正率表の補正率）　（間口狭小補正率）</t>
    <rPh sb="1" eb="2">
      <t>フ</t>
    </rPh>
    <rPh sb="2" eb="4">
      <t>セイケイ</t>
    </rPh>
    <rPh sb="4" eb="5">
      <t>チ</t>
    </rPh>
    <rPh sb="5" eb="7">
      <t>ホセイ</t>
    </rPh>
    <rPh sb="7" eb="8">
      <t>リツ</t>
    </rPh>
    <rPh sb="8" eb="9">
      <t>ヒョウ</t>
    </rPh>
    <rPh sb="10" eb="12">
      <t>ホセイ</t>
    </rPh>
    <rPh sb="12" eb="13">
      <t>リツ</t>
    </rPh>
    <phoneticPr fontId="2"/>
  </si>
  <si>
    <t>①、②のいずれか低い</t>
    <rPh sb="8" eb="9">
      <t>ヒク</t>
    </rPh>
    <phoneticPr fontId="2"/>
  </si>
  <si>
    <t>率、0.6を限度とする。</t>
    <rPh sb="0" eb="1">
      <t>リツ</t>
    </rPh>
    <rPh sb="6" eb="8">
      <t>ゲンド</t>
    </rPh>
    <phoneticPr fontId="2"/>
  </si>
  <si>
    <t>（奥行長大補正率）</t>
    <rPh sb="1" eb="3">
      <t>オクユキ</t>
    </rPh>
    <rPh sb="3" eb="5">
      <t>チョウダイ</t>
    </rPh>
    <rPh sb="5" eb="7">
      <t>ホセイ</t>
    </rPh>
    <rPh sb="7" eb="8">
      <t>リツ</t>
    </rPh>
    <phoneticPr fontId="2"/>
  </si>
  <si>
    <t>　無　　道　　路　　地　</t>
    <rPh sb="1" eb="2">
      <t>ム</t>
    </rPh>
    <rPh sb="4" eb="5">
      <t>ドウ</t>
    </rPh>
    <rPh sb="7" eb="8">
      <t>ロ</t>
    </rPh>
    <rPh sb="10" eb="11">
      <t>チ</t>
    </rPh>
    <phoneticPr fontId="2"/>
  </si>
  <si>
    <t>(正面路線価）</t>
    <rPh sb="1" eb="3">
      <t>ショウメン</t>
    </rPh>
    <rPh sb="3" eb="5">
      <t>ロセン</t>
    </rPh>
    <rPh sb="5" eb="6">
      <t>カ</t>
    </rPh>
    <phoneticPr fontId="2"/>
  </si>
  <si>
    <t>(通路部分の地積）</t>
    <rPh sb="1" eb="3">
      <t>ツウロ</t>
    </rPh>
    <rPh sb="3" eb="5">
      <t>ブブン</t>
    </rPh>
    <rPh sb="6" eb="8">
      <t>チセキ</t>
    </rPh>
    <phoneticPr fontId="2"/>
  </si>
  <si>
    <t>(評価対象地の地積）</t>
    <rPh sb="1" eb="3">
      <t>ヒョウカ</t>
    </rPh>
    <rPh sb="3" eb="6">
      <t>タイショウチ</t>
    </rPh>
    <rPh sb="7" eb="9">
      <t>チセキ</t>
    </rPh>
    <phoneticPr fontId="2"/>
  </si>
  <si>
    <t>円 ×</t>
    <rPh sb="0" eb="1">
      <t>エン</t>
    </rPh>
    <phoneticPr fontId="2"/>
  </si>
  <si>
    <t>(がけ地補正率）</t>
    <rPh sb="3" eb="4">
      <t>チ</t>
    </rPh>
    <rPh sb="4" eb="6">
      <t>ホセイ</t>
    </rPh>
    <rPh sb="6" eb="7">
      <t>リツ</t>
    </rPh>
    <phoneticPr fontId="2"/>
  </si>
  <si>
    <t>　容積率の異なる２以上の地域にわたる宅地</t>
    <rPh sb="1" eb="3">
      <t>ヨウセキ</t>
    </rPh>
    <rPh sb="3" eb="4">
      <t>リツ</t>
    </rPh>
    <rPh sb="5" eb="6">
      <t>コト</t>
    </rPh>
    <rPh sb="9" eb="11">
      <t>イジョウ</t>
    </rPh>
    <rPh sb="12" eb="14">
      <t>チイキ</t>
    </rPh>
    <rPh sb="18" eb="20">
      <t>タクチ</t>
    </rPh>
    <phoneticPr fontId="2"/>
  </si>
  <si>
    <t>(控除割合（小数点以下３位未満四捨五入））</t>
    <rPh sb="1" eb="3">
      <t>コウジョ</t>
    </rPh>
    <rPh sb="3" eb="5">
      <t>ワリアイ</t>
    </rPh>
    <rPh sb="6" eb="11">
      <t>ショウスウテンイカ</t>
    </rPh>
    <rPh sb="12" eb="19">
      <t>イミマンシシャゴニュウ</t>
    </rPh>
    <phoneticPr fontId="2"/>
  </si>
  <si>
    <t>　私　　　　　道</t>
    <rPh sb="1" eb="2">
      <t>ワタシ</t>
    </rPh>
    <rPh sb="7" eb="8">
      <t>ミチ</t>
    </rPh>
    <phoneticPr fontId="2"/>
  </si>
  <si>
    <t>自用地１平方メートル当たりの価額</t>
    <rPh sb="0" eb="1">
      <t>ジ</t>
    </rPh>
    <rPh sb="1" eb="3">
      <t>ヨウチ</t>
    </rPh>
    <rPh sb="4" eb="6">
      <t>ヘイホウ</t>
    </rPh>
    <rPh sb="10" eb="11">
      <t>ア</t>
    </rPh>
    <rPh sb="14" eb="16">
      <t>カガク</t>
    </rPh>
    <phoneticPr fontId="2"/>
  </si>
  <si>
    <t>ページ</t>
    <phoneticPr fontId="2"/>
  </si>
  <si>
    <t>（</t>
    <phoneticPr fontId="2"/>
  </si>
  <si>
    <t>）</t>
    <phoneticPr fontId="2"/>
  </si>
  <si>
    <t>㎡</t>
    <phoneticPr fontId="2"/>
  </si>
  <si>
    <t>〔</t>
    <phoneticPr fontId="2"/>
  </si>
  <si>
    <t>〕</t>
    <phoneticPr fontId="2"/>
  </si>
  <si>
    <t>ｍ</t>
    <phoneticPr fontId="2"/>
  </si>
  <si>
    <t>ｍ</t>
    <phoneticPr fontId="2"/>
  </si>
  <si>
    <t>Ａ</t>
    <phoneticPr fontId="2"/>
  </si>
  <si>
    <r>
      <t>円</t>
    </r>
    <r>
      <rPr>
        <sz val="9"/>
        <rFont val="ＭＳ Ｐ明朝"/>
        <family val="1"/>
        <charset val="128"/>
      </rPr>
      <t>×</t>
    </r>
    <rPh sb="0" eb="1">
      <t>エン</t>
    </rPh>
    <phoneticPr fontId="2"/>
  </si>
  <si>
    <t>〔</t>
    <phoneticPr fontId="2"/>
  </si>
  <si>
    <t>〔</t>
    <phoneticPr fontId="2"/>
  </si>
  <si>
    <t>Ｂ</t>
    <phoneticPr fontId="2"/>
  </si>
  <si>
    <t>（Ａ）</t>
    <phoneticPr fontId="2"/>
  </si>
  <si>
    <r>
      <t>円</t>
    </r>
    <r>
      <rPr>
        <sz val="8"/>
        <rFont val="ＭＳ Ｐ明朝"/>
        <family val="1"/>
        <charset val="128"/>
      </rPr>
      <t>×</t>
    </r>
    <rPh sb="0" eb="1">
      <t>エン</t>
    </rPh>
    <phoneticPr fontId="2"/>
  </si>
  <si>
    <t>×</t>
    <phoneticPr fontId="2"/>
  </si>
  <si>
    <t>）</t>
    <phoneticPr fontId="2"/>
  </si>
  <si>
    <t>Ｃ</t>
    <phoneticPr fontId="2"/>
  </si>
  <si>
    <t>（Ｂ）</t>
    <phoneticPr fontId="2"/>
  </si>
  <si>
    <t>Ｄ</t>
    <phoneticPr fontId="2"/>
  </si>
  <si>
    <t>（Ｃ）</t>
    <phoneticPr fontId="2"/>
  </si>
  <si>
    <t>5-1</t>
    <phoneticPr fontId="2"/>
  </si>
  <si>
    <t>Ｅ</t>
    <phoneticPr fontId="2"/>
  </si>
  <si>
    <r>
      <t xml:space="preserve">円 </t>
    </r>
    <r>
      <rPr>
        <sz val="8"/>
        <rFont val="ＭＳ Ｐ明朝"/>
        <family val="1"/>
        <charset val="128"/>
      </rPr>
      <t>×（</t>
    </r>
    <rPh sb="0" eb="1">
      <t>エン</t>
    </rPh>
    <phoneticPr fontId="2"/>
  </si>
  <si>
    <t>5-2</t>
    <phoneticPr fontId="2"/>
  </si>
  <si>
    <t>Ｆ</t>
    <phoneticPr fontId="2"/>
  </si>
  <si>
    <t>ｍ ×</t>
    <phoneticPr fontId="2"/>
  </si>
  <si>
    <t>ｍ ＝</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</si>
  <si>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</si>
  <si>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</si>
  <si>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</si>
  <si>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</si>
  <si>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</si>
  <si>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</si>
  <si>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</si>
  <si>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</si>
  <si>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</si>
  <si>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</si>
  <si>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</si>
  <si>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</si>
  <si>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</si>
  <si>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</si>
  <si>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①</t>
    <phoneticPr fontId="2"/>
  </si>
  <si>
    <t>×</t>
    <phoneticPr fontId="2"/>
  </si>
  <si>
    <t>＝</t>
    <phoneticPr fontId="2"/>
  </si>
  <si>
    <t>②</t>
    <phoneticPr fontId="2"/>
  </si>
  <si>
    <t>（※）</t>
    <phoneticPr fontId="2"/>
  </si>
  <si>
    <t>（</t>
    <phoneticPr fontId="2"/>
  </si>
  <si>
    <t>㎡）÷（</t>
    <phoneticPr fontId="2"/>
  </si>
  <si>
    <t>㎡</t>
    <phoneticPr fontId="2"/>
  </si>
  <si>
    <t>Ｎ</t>
    <phoneticPr fontId="2"/>
  </si>
  <si>
    <t>）</t>
    <phoneticPr fontId="2"/>
  </si>
  <si>
    <t>Ｑ</t>
    <phoneticPr fontId="2"/>
  </si>
  <si>
    <t>)</t>
    <phoneticPr fontId="2"/>
  </si>
  <si>
    <t>Ｒ</t>
    <phoneticPr fontId="2"/>
  </si>
  <si>
    <t>（</t>
    <phoneticPr fontId="2"/>
  </si>
  <si>
    <t>目的となっ</t>
    <phoneticPr fontId="2"/>
  </si>
  <si>
    <t>（自用地の評価額）</t>
    <phoneticPr fontId="2"/>
  </si>
  <si>
    <t>Ｓ</t>
    <phoneticPr fontId="2"/>
  </si>
  <si>
    <t>）</t>
    <phoneticPr fontId="2"/>
  </si>
  <si>
    <t>Ｔ</t>
    <phoneticPr fontId="2"/>
  </si>
  <si>
    <t>(借家権割合）</t>
    <phoneticPr fontId="2"/>
  </si>
  <si>
    <t>(賃貸割合）</t>
    <phoneticPr fontId="2"/>
  </si>
  <si>
    <t>Ｕ</t>
    <phoneticPr fontId="2"/>
  </si>
  <si>
    <t>(</t>
    <phoneticPr fontId="2"/>
  </si>
  <si>
    <t>〔</t>
    <phoneticPr fontId="2"/>
  </si>
  <si>
    <t>（自用地の評価額）</t>
    <phoneticPr fontId="2"/>
  </si>
  <si>
    <t>割合）</t>
    <phoneticPr fontId="2"/>
  </si>
  <si>
    <t>Ｙ</t>
    <phoneticPr fontId="2"/>
  </si>
  <si>
    <t>〕</t>
    <phoneticPr fontId="2"/>
  </si>
  <si>
    <t>Ｚ</t>
    <phoneticPr fontId="2"/>
  </si>
  <si>
    <t>｝</t>
    <phoneticPr fontId="2"/>
  </si>
  <si>
    <t>O</t>
    <phoneticPr fontId="2"/>
  </si>
  <si>
    <t>㎡</t>
    <phoneticPr fontId="2"/>
  </si>
  <si>
    <t>(</t>
    <phoneticPr fontId="2"/>
  </si>
  <si>
    <t>ビル街地区</t>
    <rPh sb="2" eb="3">
      <t>ガイ</t>
    </rPh>
    <rPh sb="3" eb="5">
      <t>チク</t>
    </rPh>
    <phoneticPr fontId="2"/>
  </si>
  <si>
    <t>高度商業地区</t>
    <rPh sb="0" eb="2">
      <t>コウド</t>
    </rPh>
    <rPh sb="2" eb="4">
      <t>ショウギョウ</t>
    </rPh>
    <rPh sb="4" eb="6">
      <t>チク</t>
    </rPh>
    <phoneticPr fontId="2"/>
  </si>
  <si>
    <t>繁華街地区</t>
    <rPh sb="0" eb="3">
      <t>ハンカガイ</t>
    </rPh>
    <rPh sb="3" eb="5">
      <t>チク</t>
    </rPh>
    <phoneticPr fontId="2"/>
  </si>
  <si>
    <t>普通住宅地区</t>
    <rPh sb="0" eb="2">
      <t>フツウ</t>
    </rPh>
    <rPh sb="2" eb="4">
      <t>ジュウタク</t>
    </rPh>
    <rPh sb="4" eb="6">
      <t>チク</t>
    </rPh>
    <phoneticPr fontId="2"/>
  </si>
  <si>
    <t>中小工場地区</t>
    <rPh sb="0" eb="2">
      <t>チュウショウ</t>
    </rPh>
    <rPh sb="2" eb="4">
      <t>コウジョウ</t>
    </rPh>
    <rPh sb="4" eb="6">
      <t>チク</t>
    </rPh>
    <phoneticPr fontId="2"/>
  </si>
  <si>
    <t>大工場地区</t>
    <rPh sb="0" eb="3">
      <t>ダイコウジョウ</t>
    </rPh>
    <rPh sb="3" eb="5">
      <t>チク</t>
    </rPh>
    <phoneticPr fontId="2"/>
  </si>
  <si>
    <t>普通商業・併用住宅地区</t>
    <rPh sb="0" eb="2">
      <t>フツウ</t>
    </rPh>
    <rPh sb="2" eb="4">
      <t>ショウギョウ</t>
    </rPh>
    <rPh sb="5" eb="7">
      <t>ヘイヨウ</t>
    </rPh>
    <rPh sb="7" eb="9">
      <t>ジュウタク</t>
    </rPh>
    <rPh sb="9" eb="11">
      <t>チク</t>
    </rPh>
    <phoneticPr fontId="2"/>
  </si>
  <si>
    <t>以上</t>
    <rPh sb="0" eb="2">
      <t>イジョウ</t>
    </rPh>
    <phoneticPr fontId="2"/>
  </si>
  <si>
    <t>①奥行価格補正率表</t>
    <phoneticPr fontId="2"/>
  </si>
  <si>
    <t>角地</t>
    <phoneticPr fontId="2"/>
  </si>
  <si>
    <t>準角地</t>
    <phoneticPr fontId="2"/>
  </si>
  <si>
    <t>二方</t>
    <rPh sb="0" eb="1">
      <t>ニ</t>
    </rPh>
    <rPh sb="1" eb="2">
      <t>ホウ</t>
    </rPh>
    <phoneticPr fontId="2"/>
  </si>
  <si>
    <t>⑥間口狭小補正率表</t>
  </si>
  <si>
    <t>⑦奥行長大補正率表</t>
    <phoneticPr fontId="2"/>
  </si>
  <si>
    <t>準角地</t>
    <rPh sb="0" eb="1">
      <t>ジュン</t>
    </rPh>
    <rPh sb="1" eb="3">
      <t>カドチ</t>
    </rPh>
    <phoneticPr fontId="2"/>
  </si>
  <si>
    <t>②③側方・二方路線影響加算率表</t>
    <rPh sb="5" eb="6">
      <t>ニ</t>
    </rPh>
    <rPh sb="6" eb="7">
      <t>ホウ</t>
    </rPh>
    <rPh sb="7" eb="9">
      <t>ロセン</t>
    </rPh>
    <phoneticPr fontId="2"/>
  </si>
  <si>
    <t>南</t>
  </si>
  <si>
    <t>東</t>
  </si>
  <si>
    <t>西</t>
  </si>
  <si>
    <t>北</t>
  </si>
  <si>
    <t>⑧がけ地補正率表</t>
    <phoneticPr fontId="2"/>
  </si>
  <si>
    <t>A</t>
    <phoneticPr fontId="2"/>
  </si>
  <si>
    <t>B</t>
    <phoneticPr fontId="2"/>
  </si>
  <si>
    <t>C</t>
    <phoneticPr fontId="2"/>
  </si>
  <si>
    <t>C</t>
    <phoneticPr fontId="2"/>
  </si>
  <si>
    <t>B</t>
    <phoneticPr fontId="2"/>
  </si>
  <si>
    <t>C</t>
    <phoneticPr fontId="2"/>
  </si>
  <si>
    <t>B</t>
    <phoneticPr fontId="2"/>
  </si>
  <si>
    <t>⑤不整形地補正率表</t>
    <rPh sb="1" eb="2">
      <t>フ</t>
    </rPh>
    <rPh sb="2" eb="4">
      <t>セイケイ</t>
    </rPh>
    <rPh sb="4" eb="5">
      <t>チ</t>
    </rPh>
    <rPh sb="5" eb="7">
      <t>ホセイ</t>
    </rPh>
    <rPh sb="7" eb="8">
      <t>リツ</t>
    </rPh>
    <rPh sb="8" eb="9">
      <t>ヒョウ</t>
    </rPh>
    <phoneticPr fontId="2"/>
  </si>
  <si>
    <t>④不整形地補正の地積区分表</t>
    <rPh sb="1" eb="2">
      <t>フ</t>
    </rPh>
    <rPh sb="2" eb="4">
      <t>セイケイ</t>
    </rPh>
    <rPh sb="4" eb="5">
      <t>チ</t>
    </rPh>
    <rPh sb="5" eb="7">
      <t>ホセイ</t>
    </rPh>
    <rPh sb="8" eb="10">
      <t>チセキ</t>
    </rPh>
    <rPh sb="10" eb="12">
      <t>クブン</t>
    </rPh>
    <rPh sb="12" eb="13">
      <t>ヒョウ</t>
    </rPh>
    <phoneticPr fontId="2"/>
  </si>
  <si>
    <t>路線価〕</t>
    <rPh sb="0" eb="2">
      <t>ロセン</t>
    </rPh>
    <rPh sb="2" eb="3">
      <t>カ</t>
    </rPh>
    <phoneticPr fontId="2"/>
  </si>
  <si>
    <t>路線影響加算率〕</t>
    <rPh sb="0" eb="2">
      <t>ロセン</t>
    </rPh>
    <rPh sb="2" eb="4">
      <t>エイキョウ</t>
    </rPh>
    <rPh sb="4" eb="6">
      <t>カサン</t>
    </rPh>
    <rPh sb="6" eb="7">
      <t>リツ</t>
    </rPh>
    <phoneticPr fontId="2"/>
  </si>
  <si>
    <t>不整形地補正率※</t>
    <rPh sb="0" eb="1">
      <t>フ</t>
    </rPh>
    <rPh sb="1" eb="3">
      <t>セイケイ</t>
    </rPh>
    <rPh sb="3" eb="4">
      <t>チ</t>
    </rPh>
    <rPh sb="4" eb="6">
      <t>ホセイ</t>
    </rPh>
    <rPh sb="6" eb="7">
      <t>リツ</t>
    </rPh>
    <phoneticPr fontId="2"/>
  </si>
  <si>
    <t>※不整形地補正率の計算</t>
    <rPh sb="1" eb="2">
      <t>フ</t>
    </rPh>
    <rPh sb="2" eb="4">
      <t>セイケイ</t>
    </rPh>
    <rPh sb="4" eb="5">
      <t>チ</t>
    </rPh>
    <rPh sb="5" eb="7">
      <t>ホセイ</t>
    </rPh>
    <rPh sb="7" eb="8">
      <t>リツ</t>
    </rPh>
    <rPh sb="9" eb="11">
      <t>ケイサン</t>
    </rPh>
    <phoneticPr fontId="2"/>
  </si>
  <si>
    <t>※割合の計算（0.4を限度とする。）</t>
    <rPh sb="1" eb="3">
      <t>ワリアイ</t>
    </rPh>
    <rPh sb="4" eb="6">
      <t>ケイサン</t>
    </rPh>
    <rPh sb="11" eb="13">
      <t>ゲンド</t>
    </rPh>
    <phoneticPr fontId="2"/>
  </si>
  <si>
    <t>自用地１平方メートル当たりの価額</t>
    <rPh sb="0" eb="1">
      <t>ジ</t>
    </rPh>
    <rPh sb="1" eb="2">
      <t>ヨウ</t>
    </rPh>
    <rPh sb="2" eb="3">
      <t>チ</t>
    </rPh>
    <rPh sb="4" eb="5">
      <t>ヒラ</t>
    </rPh>
    <rPh sb="5" eb="6">
      <t>ホウ</t>
    </rPh>
    <rPh sb="10" eb="11">
      <t>ア</t>
    </rPh>
    <rPh sb="14" eb="15">
      <t>アタイ</t>
    </rPh>
    <rPh sb="15" eb="16">
      <t>ガク</t>
    </rPh>
    <phoneticPr fontId="2"/>
  </si>
  <si>
    <t>総額</t>
    <rPh sb="0" eb="1">
      <t>フサ</t>
    </rPh>
    <rPh sb="1" eb="2">
      <t>ガク</t>
    </rPh>
    <phoneticPr fontId="2"/>
  </si>
  <si>
    <t>地積</t>
    <rPh sb="0" eb="1">
      <t>チ</t>
    </rPh>
    <rPh sb="1" eb="2">
      <t>セキ</t>
    </rPh>
    <phoneticPr fontId="2"/>
  </si>
  <si>
    <t>自用地</t>
    <rPh sb="0" eb="2">
      <t>ジヨウ</t>
    </rPh>
    <rPh sb="2" eb="3">
      <t>チ</t>
    </rPh>
    <phoneticPr fontId="2"/>
  </si>
  <si>
    <t>貸宅地</t>
    <rPh sb="0" eb="1">
      <t>カシ</t>
    </rPh>
    <rPh sb="1" eb="3">
      <t>タクチ</t>
    </rPh>
    <phoneticPr fontId="2"/>
  </si>
  <si>
    <t>貸家建付地</t>
    <rPh sb="0" eb="2">
      <t>カシヤ</t>
    </rPh>
    <rPh sb="2" eb="3">
      <t>タ</t>
    </rPh>
    <rPh sb="3" eb="4">
      <t>ツケ</t>
    </rPh>
    <rPh sb="4" eb="5">
      <t>チ</t>
    </rPh>
    <phoneticPr fontId="2"/>
  </si>
  <si>
    <t>貸家建付借地権</t>
    <rPh sb="0" eb="2">
      <t>カシヤ</t>
    </rPh>
    <rPh sb="2" eb="3">
      <t>タ</t>
    </rPh>
    <rPh sb="3" eb="4">
      <t>ツケ</t>
    </rPh>
    <rPh sb="4" eb="7">
      <t>シャクチケン</t>
    </rPh>
    <phoneticPr fontId="2"/>
  </si>
  <si>
    <t>転貸借地権</t>
    <rPh sb="0" eb="2">
      <t>テンタイ</t>
    </rPh>
    <rPh sb="2" eb="5">
      <t>シャクチケン</t>
    </rPh>
    <phoneticPr fontId="2"/>
  </si>
  <si>
    <t>×</t>
    <phoneticPr fontId="2"/>
  </si>
  <si>
    <t>円    ×  　</t>
    <rPh sb="0" eb="1">
      <t>エン</t>
    </rPh>
    <phoneticPr fontId="2"/>
  </si>
  <si>
    <t>円×( 1－</t>
    <rPh sb="0" eb="1">
      <t>エン</t>
    </rPh>
    <phoneticPr fontId="2"/>
  </si>
  <si>
    <t>セットバックを
必要とする
宅地の評価額</t>
    <rPh sb="8" eb="10">
      <t>ヒツヨウ</t>
    </rPh>
    <rPh sb="14" eb="16">
      <t>タクチ</t>
    </rPh>
    <rPh sb="17" eb="20">
      <t>ヒョウカガク</t>
    </rPh>
    <phoneticPr fontId="2"/>
  </si>
  <si>
    <t>都市計画道路
予定地の区域
内にある宅地
の評価額</t>
    <rPh sb="0" eb="4">
      <t>トシケイカククイキナイ</t>
    </rPh>
    <rPh sb="4" eb="6">
      <t>ドウロ</t>
    </rPh>
    <rPh sb="7" eb="10">
      <t>ヨテイチ</t>
    </rPh>
    <rPh sb="11" eb="13">
      <t>クイキ</t>
    </rPh>
    <rPh sb="14" eb="15">
      <t>ナイ</t>
    </rPh>
    <rPh sb="18" eb="20">
      <t>タクチ</t>
    </rPh>
    <rPh sb="22" eb="25">
      <t>ヒョウカガク</t>
    </rPh>
    <phoneticPr fontId="2"/>
  </si>
  <si>
    <t>円−</t>
    <rPh sb="0" eb="1">
      <t>エン</t>
    </rPh>
    <phoneticPr fontId="2"/>
  </si>
  <si>
    <t>×0.7</t>
    <phoneticPr fontId="2"/>
  </si>
  <si>
    <t>　(借地権割合）　　 (借家権割合）　(賃貸割合）</t>
    <rPh sb="2" eb="5">
      <t>シャクチケン</t>
    </rPh>
    <rPh sb="5" eb="7">
      <t>ワリアイ</t>
    </rPh>
    <phoneticPr fontId="2"/>
  </si>
  <si>
    <t>㎡）＝</t>
    <phoneticPr fontId="2"/>
  </si>
  <si>
    <t>円 ×（　1　－  　</t>
    <rPh sb="0" eb="1">
      <t>エン</t>
    </rPh>
    <phoneticPr fontId="2"/>
  </si>
  <si>
    <t>〕</t>
    <phoneticPr fontId="2"/>
  </si>
  <si>
    <t>がけ地地積</t>
    <rPh sb="2" eb="3">
      <t>チ</t>
    </rPh>
    <rPh sb="3" eb="5">
      <t>チセキ</t>
    </rPh>
    <phoneticPr fontId="2"/>
  </si>
  <si>
    <t>がけ地地積割合</t>
    <rPh sb="2" eb="3">
      <t>チ</t>
    </rPh>
    <rPh sb="3" eb="5">
      <t>チセキ</t>
    </rPh>
    <rPh sb="5" eb="7">
      <t>ワリアイ</t>
    </rPh>
    <phoneticPr fontId="2"/>
  </si>
  <si>
    <t>円×( 1－</t>
    <phoneticPr fontId="2"/>
  </si>
  <si>
    <t>円       ×　　</t>
    <rPh sb="0" eb="1">
      <t>エン</t>
    </rPh>
    <phoneticPr fontId="2"/>
  </si>
  <si>
    <t>×　</t>
    <phoneticPr fontId="2"/>
  </si>
  <si>
    <t>自用地</t>
    <phoneticPr fontId="2"/>
  </si>
  <si>
    <t>貸宅地</t>
    <phoneticPr fontId="2"/>
  </si>
  <si>
    <t>借地権</t>
    <phoneticPr fontId="2"/>
  </si>
  <si>
    <t>私道</t>
    <phoneticPr fontId="2"/>
  </si>
  <si>
    <t>貸家建付借地権</t>
    <phoneticPr fontId="2"/>
  </si>
  <si>
    <t>転貸借地権</t>
    <phoneticPr fontId="2"/>
  </si>
  <si>
    <t>貸家建付地</t>
    <phoneticPr fontId="2"/>
  </si>
  <si>
    <t>借地権</t>
    <phoneticPr fontId="2"/>
  </si>
  <si>
    <t>私道</t>
    <rPh sb="0" eb="2">
      <t>シドウ</t>
    </rPh>
    <phoneticPr fontId="2"/>
  </si>
  <si>
    <t>中小工場地区</t>
    <phoneticPr fontId="2"/>
  </si>
  <si>
    <t>大工場地区</t>
    <phoneticPr fontId="2"/>
  </si>
  <si>
    <t>ビル街地区</t>
    <phoneticPr fontId="2"/>
  </si>
  <si>
    <t>高度商業地区</t>
    <phoneticPr fontId="2"/>
  </si>
  <si>
    <t>繁華街地区</t>
    <phoneticPr fontId="2"/>
  </si>
  <si>
    <t>普通住宅地区</t>
    <phoneticPr fontId="2"/>
  </si>
  <si>
    <t>中小工場地区</t>
    <phoneticPr fontId="2"/>
  </si>
  <si>
    <t>ビル街地区</t>
    <phoneticPr fontId="2"/>
  </si>
  <si>
    <t>高度商業地区</t>
    <rPh sb="2" eb="4">
      <t>ショウギョウ</t>
    </rPh>
    <phoneticPr fontId="2"/>
  </si>
  <si>
    <t>繁華街地区</t>
    <rPh sb="0" eb="3">
      <t>ハンカガイ</t>
    </rPh>
    <phoneticPr fontId="2"/>
  </si>
  <si>
    <t>普通住宅地区</t>
    <rPh sb="0" eb="2">
      <t>フツウ</t>
    </rPh>
    <phoneticPr fontId="2"/>
  </si>
  <si>
    <t>中小工場地区</t>
    <phoneticPr fontId="2"/>
  </si>
  <si>
    <t>大工場地区</t>
    <phoneticPr fontId="2"/>
  </si>
  <si>
    <t>ビル街地区</t>
    <phoneticPr fontId="2"/>
  </si>
  <si>
    <t>大工場地区</t>
    <phoneticPr fontId="2"/>
  </si>
  <si>
    <t>ビル街地区</t>
    <phoneticPr fontId="2"/>
  </si>
  <si>
    <t>大工場地区</t>
    <phoneticPr fontId="2"/>
  </si>
  <si>
    <t>ビル街地区</t>
    <phoneticPr fontId="2"/>
  </si>
  <si>
    <t>大工場地区</t>
    <phoneticPr fontId="2"/>
  </si>
  <si>
    <t>普通住宅地区</t>
    <phoneticPr fontId="2"/>
  </si>
  <si>
    <t>普通商業・併用住宅地区</t>
    <phoneticPr fontId="2"/>
  </si>
  <si>
    <t>普通商業・併用住宅地区</t>
    <phoneticPr fontId="2"/>
  </si>
  <si>
    <t>普通商業・併用住宅地区</t>
    <phoneticPr fontId="2"/>
  </si>
  <si>
    <t>札幌</t>
    <rPh sb="0" eb="2">
      <t>サッポロ</t>
    </rPh>
    <phoneticPr fontId="2"/>
  </si>
  <si>
    <t>仙台</t>
    <rPh sb="0" eb="2">
      <t>センダイ</t>
    </rPh>
    <phoneticPr fontId="2"/>
  </si>
  <si>
    <t>関東信越</t>
    <rPh sb="0" eb="2">
      <t>カントウ</t>
    </rPh>
    <rPh sb="2" eb="4">
      <t>シンエツ</t>
    </rPh>
    <phoneticPr fontId="2"/>
  </si>
  <si>
    <t>東京</t>
    <rPh sb="0" eb="2">
      <t>トウキョウ</t>
    </rPh>
    <phoneticPr fontId="2"/>
  </si>
  <si>
    <t>金沢</t>
    <rPh sb="0" eb="2">
      <t>カナザワ</t>
    </rPh>
    <phoneticPr fontId="2"/>
  </si>
  <si>
    <t>名古屋</t>
    <rPh sb="0" eb="3">
      <t>ナゴヤ</t>
    </rPh>
    <phoneticPr fontId="2"/>
  </si>
  <si>
    <t>大阪</t>
    <rPh sb="0" eb="2">
      <t>オオサカ</t>
    </rPh>
    <phoneticPr fontId="2"/>
  </si>
  <si>
    <t>広島</t>
    <rPh sb="0" eb="2">
      <t>ヒロシマ</t>
    </rPh>
    <phoneticPr fontId="2"/>
  </si>
  <si>
    <t>高松</t>
    <rPh sb="0" eb="2">
      <t>タカマツ</t>
    </rPh>
    <phoneticPr fontId="2"/>
  </si>
  <si>
    <t>福岡</t>
    <rPh sb="0" eb="2">
      <t>フクオカ</t>
    </rPh>
    <phoneticPr fontId="2"/>
  </si>
  <si>
    <t>熊本</t>
    <rPh sb="0" eb="2">
      <t>クマモト</t>
    </rPh>
    <phoneticPr fontId="2"/>
  </si>
  <si>
    <t>沖縄</t>
    <rPh sb="0" eb="2">
      <t>オキナワ</t>
    </rPh>
    <phoneticPr fontId="2"/>
  </si>
  <si>
    <t>　</t>
    <phoneticPr fontId="2"/>
  </si>
  <si>
    <t>　</t>
    <phoneticPr fontId="2"/>
  </si>
  <si>
    <t>⑨都市計画道路予定地補正率表</t>
    <rPh sb="1" eb="3">
      <t>トシ</t>
    </rPh>
    <rPh sb="3" eb="5">
      <t>ケイカク</t>
    </rPh>
    <rPh sb="5" eb="7">
      <t>ドウロ</t>
    </rPh>
    <rPh sb="7" eb="10">
      <t>ヨテイチ</t>
    </rPh>
    <phoneticPr fontId="2"/>
  </si>
  <si>
    <t>地区区分</t>
    <rPh sb="0" eb="2">
      <t>チク</t>
    </rPh>
    <rPh sb="2" eb="4">
      <t>クブン</t>
    </rPh>
    <phoneticPr fontId="2"/>
  </si>
  <si>
    <t>ビル街、高度商業</t>
    <rPh sb="2" eb="3">
      <t>ガイ</t>
    </rPh>
    <rPh sb="4" eb="6">
      <t>コウド</t>
    </rPh>
    <rPh sb="6" eb="8">
      <t>ショウギョウ</t>
    </rPh>
    <phoneticPr fontId="2"/>
  </si>
  <si>
    <t>繁華街、普通商業・併用住宅</t>
    <rPh sb="0" eb="3">
      <t>ハンカガイ</t>
    </rPh>
    <rPh sb="4" eb="6">
      <t>フツウ</t>
    </rPh>
    <rPh sb="6" eb="8">
      <t>ショウギョウ</t>
    </rPh>
    <rPh sb="9" eb="11">
      <t>ヘイヨウ</t>
    </rPh>
    <rPh sb="11" eb="13">
      <t>ジュウタク</t>
    </rPh>
    <phoneticPr fontId="2"/>
  </si>
  <si>
    <t>普通住宅、中小工場、大工場</t>
    <rPh sb="0" eb="2">
      <t>フツウ</t>
    </rPh>
    <rPh sb="2" eb="4">
      <t>ジュウタク</t>
    </rPh>
    <rPh sb="5" eb="7">
      <t>チュウショウ</t>
    </rPh>
    <rPh sb="7" eb="9">
      <t>コウジョウ</t>
    </rPh>
    <rPh sb="10" eb="13">
      <t>ダイコウジョウ</t>
    </rPh>
    <phoneticPr fontId="2"/>
  </si>
  <si>
    <t>容積率
地積割合</t>
    <rPh sb="0" eb="2">
      <t>ヨウセキ</t>
    </rPh>
    <rPh sb="2" eb="3">
      <t>リツ</t>
    </rPh>
    <rPh sb="4" eb="6">
      <t>チセキ</t>
    </rPh>
    <rPh sb="6" eb="8">
      <t>ワリアイ</t>
    </rPh>
    <phoneticPr fontId="2"/>
  </si>
  <si>
    <t>容積率 ％</t>
    <rPh sb="0" eb="2">
      <t>ヨウセキ</t>
    </rPh>
    <rPh sb="2" eb="3">
      <t>リツ</t>
    </rPh>
    <phoneticPr fontId="2"/>
  </si>
  <si>
    <t>予定地地積 ㎡</t>
    <rPh sb="0" eb="3">
      <t>ヨテイチ</t>
    </rPh>
    <rPh sb="3" eb="5">
      <t>チセキ</t>
    </rPh>
    <phoneticPr fontId="2"/>
  </si>
  <si>
    <t>地積割合</t>
    <rPh sb="0" eb="2">
      <t>チセキ</t>
    </rPh>
    <rPh sb="2" eb="4">
      <t>ワリアイ</t>
    </rPh>
    <phoneticPr fontId="2"/>
  </si>
  <si>
    <t>容積率①</t>
    <rPh sb="0" eb="2">
      <t>ヨウセキ</t>
    </rPh>
    <rPh sb="2" eb="3">
      <t>リツ</t>
    </rPh>
    <phoneticPr fontId="2"/>
  </si>
  <si>
    <t>地積②</t>
    <rPh sb="0" eb="2">
      <t>チセキ</t>
    </rPh>
    <phoneticPr fontId="2"/>
  </si>
  <si>
    <t>①×②</t>
    <phoneticPr fontId="2"/>
  </si>
  <si>
    <t>影響度</t>
    <rPh sb="0" eb="3">
      <t>エイキョウド</t>
    </rPh>
    <phoneticPr fontId="2"/>
  </si>
  <si>
    <t>円 ×（　1　－</t>
    <rPh sb="0" eb="1">
      <t>エン</t>
    </rPh>
    <phoneticPr fontId="2"/>
  </si>
  <si>
    <t>局(所)</t>
    <rPh sb="0" eb="1">
      <t>キョク</t>
    </rPh>
    <rPh sb="2" eb="3">
      <t>ショ</t>
    </rPh>
    <phoneticPr fontId="2"/>
  </si>
  <si>
    <t>都市計画道路予定地</t>
    <rPh sb="0" eb="2">
      <t>トシ</t>
    </rPh>
    <rPh sb="2" eb="4">
      <t>ケイカク</t>
    </rPh>
    <rPh sb="4" eb="6">
      <t>ドウロ</t>
    </rPh>
    <rPh sb="6" eb="9">
      <t>ヨテイチ</t>
    </rPh>
    <phoneticPr fontId="2"/>
  </si>
  <si>
    <t>Ｎ</t>
    <phoneticPr fontId="2"/>
  </si>
  <si>
    <t>Ｒ</t>
    <phoneticPr fontId="2"/>
  </si>
  <si>
    <t>Ｕ</t>
    <phoneticPr fontId="2"/>
  </si>
  <si>
    <t>Ｖ</t>
    <phoneticPr fontId="2"/>
  </si>
  <si>
    <t>Ｗ</t>
    <phoneticPr fontId="2"/>
  </si>
  <si>
    <t>Ｘ</t>
    <phoneticPr fontId="2"/>
  </si>
  <si>
    <t xml:space="preserve"> </t>
    <phoneticPr fontId="2"/>
  </si>
  <si>
    <t>裏面金額の表示</t>
    <rPh sb="0" eb="2">
      <t>リメン</t>
    </rPh>
    <rPh sb="2" eb="4">
      <t>キンガク</t>
    </rPh>
    <rPh sb="5" eb="7">
      <t>ヒョウジ</t>
    </rPh>
    <phoneticPr fontId="2"/>
  </si>
  <si>
    <r>
      <t>評</t>
    </r>
    <r>
      <rPr>
        <sz val="6"/>
        <rFont val="ＭＳ Ｐ明朝"/>
        <family val="1"/>
        <charset val="128"/>
      </rPr>
      <t xml:space="preserve"> </t>
    </r>
    <r>
      <rPr>
        <sz val="8"/>
        <rFont val="ＭＳ Ｐ明朝"/>
        <family val="1"/>
        <charset val="128"/>
      </rPr>
      <t>価</t>
    </r>
    <r>
      <rPr>
        <sz val="6"/>
        <rFont val="ＭＳ Ｐ明朝"/>
        <family val="1"/>
        <charset val="128"/>
      </rPr>
      <t xml:space="preserve"> </t>
    </r>
    <r>
      <rPr>
        <sz val="8"/>
        <rFont val="ＭＳ Ｐ明朝"/>
        <family val="1"/>
        <charset val="128"/>
      </rPr>
      <t>額
自用地の</t>
    </r>
    <rPh sb="0" eb="1">
      <t>ヒョウ</t>
    </rPh>
    <rPh sb="2" eb="3">
      <t>アタイ</t>
    </rPh>
    <rPh sb="4" eb="5">
      <t>ガク</t>
    </rPh>
    <phoneticPr fontId="2"/>
  </si>
  <si>
    <t>大規模工場用地</t>
    <rPh sb="0" eb="3">
      <t>ダイキボ</t>
    </rPh>
    <rPh sb="3" eb="5">
      <t>コウジョウ</t>
    </rPh>
    <rPh sb="5" eb="7">
      <t>ヨウチ</t>
    </rPh>
    <phoneticPr fontId="2"/>
  </si>
  <si>
    <t>加重平均容積率</t>
    <rPh sb="0" eb="2">
      <t>カジュウ</t>
    </rPh>
    <rPh sb="2" eb="4">
      <t>ヘイキン</t>
    </rPh>
    <rPh sb="4" eb="6">
      <t>ヨウセキ</t>
    </rPh>
    <rPh sb="6" eb="7">
      <t>リツ</t>
    </rPh>
    <phoneticPr fontId="2"/>
  </si>
  <si>
    <t>正面路線に同じ</t>
    <rPh sb="0" eb="2">
      <t>ショウメン</t>
    </rPh>
    <rPh sb="2" eb="4">
      <t>ロセン</t>
    </rPh>
    <rPh sb="5" eb="6">
      <t>オナ</t>
    </rPh>
    <phoneticPr fontId="2"/>
  </si>
  <si>
    <t>路線価</t>
    <rPh sb="0" eb="3">
      <t>ロセンカ</t>
    </rPh>
    <phoneticPr fontId="2"/>
  </si>
  <si>
    <t>奥行距離</t>
    <rPh sb="0" eb="2">
      <t>オクユキ</t>
    </rPh>
    <rPh sb="2" eb="4">
      <t>キョリ</t>
    </rPh>
    <phoneticPr fontId="2"/>
  </si>
  <si>
    <t>正面路線</t>
    <rPh sb="0" eb="2">
      <t>ショウメン</t>
    </rPh>
    <rPh sb="2" eb="4">
      <t>ロセン</t>
    </rPh>
    <phoneticPr fontId="2"/>
  </si>
  <si>
    <t>側方路線①</t>
    <rPh sb="0" eb="2">
      <t>ソクホウ</t>
    </rPh>
    <rPh sb="2" eb="4">
      <t>ロセン</t>
    </rPh>
    <phoneticPr fontId="2"/>
  </si>
  <si>
    <t>側方路線②</t>
    <rPh sb="0" eb="2">
      <t>ソクホウ</t>
    </rPh>
    <rPh sb="2" eb="4">
      <t>ロセン</t>
    </rPh>
    <phoneticPr fontId="2"/>
  </si>
  <si>
    <t>裏面路線</t>
    <rPh sb="0" eb="2">
      <t>リメン</t>
    </rPh>
    <rPh sb="2" eb="4">
      <t>ロセン</t>
    </rPh>
    <phoneticPr fontId="2"/>
  </si>
  <si>
    <t>加算額の調整</t>
    <rPh sb="0" eb="3">
      <t>カサンガク</t>
    </rPh>
    <rPh sb="4" eb="6">
      <t>チョウセイ</t>
    </rPh>
    <phoneticPr fontId="2"/>
  </si>
  <si>
    <t>想定整形地
の間口距離</t>
    <rPh sb="0" eb="2">
      <t>ソウテイ</t>
    </rPh>
    <rPh sb="2" eb="4">
      <t>セイケイ</t>
    </rPh>
    <rPh sb="4" eb="5">
      <t>チ</t>
    </rPh>
    <rPh sb="7" eb="9">
      <t>マグチ</t>
    </rPh>
    <rPh sb="9" eb="11">
      <t>キョリ</t>
    </rPh>
    <phoneticPr fontId="2"/>
  </si>
  <si>
    <t>地 積</t>
    <rPh sb="0" eb="1">
      <t>チ</t>
    </rPh>
    <rPh sb="2" eb="3">
      <t>セキ</t>
    </rPh>
    <phoneticPr fontId="2"/>
  </si>
  <si>
    <t>持 分</t>
    <rPh sb="0" eb="1">
      <t>ジ</t>
    </rPh>
    <rPh sb="2" eb="3">
      <t>ブン</t>
    </rPh>
    <phoneticPr fontId="2"/>
  </si>
  <si>
    <t>容積率の異なる２以上の地域にわたる宅地</t>
    <phoneticPr fontId="2"/>
  </si>
  <si>
    <t>小数点以下2
位未満切捨て</t>
    <phoneticPr fontId="2"/>
  </si>
  <si>
    <t>）</t>
    <phoneticPr fontId="2"/>
  </si>
  <si>
    <t>(自用地１㎡当たりの価額）×(地　積）</t>
    <rPh sb="1" eb="2">
      <t>ジ</t>
    </rPh>
    <rPh sb="2" eb="4">
      <t>ヨウチ</t>
    </rPh>
    <rPh sb="6" eb="7">
      <t>ア</t>
    </rPh>
    <rPh sb="10" eb="12">
      <t>カガク</t>
    </rPh>
    <rPh sb="15" eb="16">
      <t>チ</t>
    </rPh>
    <rPh sb="17" eb="18">
      <t>セキ</t>
    </rPh>
    <phoneticPr fontId="2"/>
  </si>
  <si>
    <t>住所</t>
    <rPh sb="0" eb="1">
      <t>ジュウ</t>
    </rPh>
    <rPh sb="1" eb="2">
      <t>トコロ</t>
    </rPh>
    <phoneticPr fontId="2"/>
  </si>
  <si>
    <t>氏名</t>
    <rPh sb="0" eb="1">
      <t>シ</t>
    </rPh>
    <rPh sb="1" eb="2">
      <t>メイ</t>
    </rPh>
    <phoneticPr fontId="2"/>
  </si>
  <si>
    <t>住　 　所</t>
    <rPh sb="0" eb="1">
      <t>ジュウ</t>
    </rPh>
    <rPh sb="4" eb="5">
      <t>トコロ</t>
    </rPh>
    <phoneticPr fontId="2"/>
  </si>
  <si>
    <t>氏　 　名</t>
    <rPh sb="0" eb="1">
      <t>シ</t>
    </rPh>
    <rPh sb="4" eb="5">
      <t>メイ</t>
    </rPh>
    <phoneticPr fontId="2"/>
  </si>
  <si>
    <t>路線価</t>
    <rPh sb="0" eb="1">
      <t>ミチ</t>
    </rPh>
    <rPh sb="1" eb="2">
      <t>セン</t>
    </rPh>
    <rPh sb="2" eb="3">
      <t>カ</t>
    </rPh>
    <phoneticPr fontId="2"/>
  </si>
  <si>
    <t>　がけ地等を有する宅地</t>
    <rPh sb="3" eb="5">
      <t>チナド</t>
    </rPh>
    <rPh sb="6" eb="7">
      <t>ユウ</t>
    </rPh>
    <rPh sb="9" eb="11">
      <t>タクチ</t>
    </rPh>
    <phoneticPr fontId="2"/>
  </si>
  <si>
    <t xml:space="preserve">（間口狭小補正率） </t>
    <rPh sb="1" eb="3">
      <t>マグチ</t>
    </rPh>
    <rPh sb="3" eb="5">
      <t>キョウショウ</t>
    </rPh>
    <rPh sb="5" eb="7">
      <t>ホセイ</t>
    </rPh>
    <rPh sb="7" eb="8">
      <t>リツ</t>
    </rPh>
    <phoneticPr fontId="2"/>
  </si>
  <si>
    <r>
      <t>（資4</t>
    </r>
    <r>
      <rPr>
        <sz val="6"/>
        <rFont val="ＭＳ 明朝"/>
        <family val="1"/>
        <charset val="128"/>
      </rPr>
      <t>―</t>
    </r>
    <r>
      <rPr>
        <sz val="7"/>
        <rFont val="ＭＳ 明朝"/>
        <family val="1"/>
        <charset val="128"/>
      </rPr>
      <t>25</t>
    </r>
    <r>
      <rPr>
        <sz val="6"/>
        <rFont val="ＭＳ 明朝"/>
        <family val="1"/>
        <charset val="128"/>
      </rPr>
      <t>―</t>
    </r>
    <r>
      <rPr>
        <sz val="7"/>
        <rFont val="ＭＳ 明朝"/>
        <family val="1"/>
        <charset val="128"/>
      </rPr>
      <t>1</t>
    </r>
    <r>
      <rPr>
        <sz val="6"/>
        <rFont val="ＭＳ 明朝"/>
        <family val="1"/>
        <charset val="128"/>
      </rPr>
      <t>―</t>
    </r>
    <r>
      <rPr>
        <sz val="7"/>
        <rFont val="ＭＳ 明朝"/>
        <family val="1"/>
        <charset val="128"/>
      </rPr>
      <t>Ａ4統一）</t>
    </r>
    <phoneticPr fontId="2"/>
  </si>
  <si>
    <r>
      <t>（資4</t>
    </r>
    <r>
      <rPr>
        <sz val="6"/>
        <rFont val="ＭＳ 明朝"/>
        <family val="1"/>
        <charset val="128"/>
      </rPr>
      <t>―</t>
    </r>
    <r>
      <rPr>
        <sz val="7"/>
        <rFont val="ＭＳ 明朝"/>
        <family val="1"/>
        <charset val="128"/>
      </rPr>
      <t>25</t>
    </r>
    <r>
      <rPr>
        <sz val="6"/>
        <rFont val="ＭＳ 明朝"/>
        <family val="1"/>
        <charset val="128"/>
      </rPr>
      <t>―</t>
    </r>
    <r>
      <rPr>
        <sz val="7"/>
        <rFont val="ＭＳ 明朝"/>
        <family val="1"/>
        <charset val="128"/>
      </rPr>
      <t>2</t>
    </r>
    <r>
      <rPr>
        <sz val="6"/>
        <rFont val="ＭＳ 明朝"/>
        <family val="1"/>
        <charset val="128"/>
      </rPr>
      <t>―</t>
    </r>
    <r>
      <rPr>
        <sz val="7"/>
        <rFont val="ＭＳ 明朝"/>
        <family val="1"/>
        <charset val="128"/>
      </rPr>
      <t>Ａ4統一）</t>
    </r>
    <phoneticPr fontId="2"/>
  </si>
  <si>
    <t>奥行価格補正
後の路線価</t>
    <rPh sb="0" eb="2">
      <t>オクユキ</t>
    </rPh>
    <rPh sb="2" eb="4">
      <t>カカク</t>
    </rPh>
    <rPh sb="4" eb="6">
      <t>ホセイ</t>
    </rPh>
    <rPh sb="7" eb="8">
      <t>ゴ</t>
    </rPh>
    <rPh sb="9" eb="12">
      <t>ロセンカ</t>
    </rPh>
    <phoneticPr fontId="2"/>
  </si>
  <si>
    <t>入力シート</t>
    <rPh sb="0" eb="2">
      <t>ニュウリョク</t>
    </rPh>
    <phoneticPr fontId="2"/>
  </si>
  <si>
    <t>接する
距  離</t>
    <rPh sb="0" eb="1">
      <t>セッ</t>
    </rPh>
    <rPh sb="4" eb="5">
      <t>キョ</t>
    </rPh>
    <rPh sb="7" eb="8">
      <t>リ</t>
    </rPh>
    <phoneticPr fontId="2"/>
  </si>
  <si>
    <t>　</t>
    <phoneticPr fontId="2"/>
  </si>
  <si>
    <t>　</t>
    <phoneticPr fontId="2"/>
  </si>
  <si>
    <t>　</t>
    <phoneticPr fontId="2"/>
  </si>
  <si>
    <t>　</t>
    <phoneticPr fontId="2"/>
  </si>
  <si>
    <t>　</t>
    <phoneticPr fontId="2"/>
  </si>
  <si>
    <t>　地積規模の大きな宅地</t>
    <rPh sb="0" eb="1">
      <t>チセキ</t>
    </rPh>
    <rPh sb="1" eb="3">
      <t>キボ</t>
    </rPh>
    <rPh sb="4" eb="5">
      <t>オオ</t>
    </rPh>
    <rPh sb="7" eb="9">
      <t>タクチ</t>
    </rPh>
    <phoneticPr fontId="2"/>
  </si>
  <si>
    <t>Ｇ</t>
    <phoneticPr fontId="2"/>
  </si>
  <si>
    <t>（ＡからＦまでのうち該当するもの）</t>
    <rPh sb="10" eb="12">
      <t>ガイトウ</t>
    </rPh>
    <phoneticPr fontId="2"/>
  </si>
  <si>
    <t>規模格差補正率※</t>
    <rPh sb="0" eb="2">
      <t>キボ</t>
    </rPh>
    <rPh sb="2" eb="4">
      <t>カクサ</t>
    </rPh>
    <rPh sb="4" eb="6">
      <t>ホセイ</t>
    </rPh>
    <rPh sb="6" eb="7">
      <t>リツ</t>
    </rPh>
    <phoneticPr fontId="2"/>
  </si>
  <si>
    <t>※規模格差補正率の計算</t>
    <rPh sb="9" eb="11">
      <t>ケイサン</t>
    </rPh>
    <phoneticPr fontId="2"/>
  </si>
  <si>
    <t>Ｈ</t>
    <phoneticPr fontId="2"/>
  </si>
  <si>
    <t>Ｉ</t>
    <phoneticPr fontId="2"/>
  </si>
  <si>
    <t>地積規模の大きな宅地</t>
    <rPh sb="0" eb="2">
      <t>チセキ</t>
    </rPh>
    <rPh sb="2" eb="4">
      <t>キボ</t>
    </rPh>
    <rPh sb="5" eb="6">
      <t>オオ</t>
    </rPh>
    <rPh sb="8" eb="10">
      <t>タクチ</t>
    </rPh>
    <phoneticPr fontId="2"/>
  </si>
  <si>
    <t>「地積規模の大きな宅地」の要件</t>
    <rPh sb="13" eb="15">
      <t>ヨウケン</t>
    </rPh>
    <phoneticPr fontId="2"/>
  </si>
  <si>
    <t>三大都市圏</t>
    <rPh sb="0" eb="2">
      <t>サンダイ</t>
    </rPh>
    <rPh sb="2" eb="5">
      <t>トシケン</t>
    </rPh>
    <phoneticPr fontId="2"/>
  </si>
  <si>
    <t>① 三大都市圏は500㎡、それ以外は1,000㎡以上の地積であること</t>
    <rPh sb="2" eb="4">
      <t>サンダイ</t>
    </rPh>
    <rPh sb="4" eb="7">
      <t>トシケン</t>
    </rPh>
    <rPh sb="15" eb="17">
      <t>イガイ</t>
    </rPh>
    <rPh sb="24" eb="26">
      <t>イジョウ</t>
    </rPh>
    <rPh sb="27" eb="29">
      <t>チセキ</t>
    </rPh>
    <phoneticPr fontId="2"/>
  </si>
  <si>
    <t>三大都市圏以外</t>
    <rPh sb="0" eb="2">
      <t>サンダイ</t>
    </rPh>
    <rPh sb="2" eb="5">
      <t>トシケン</t>
    </rPh>
    <rPh sb="5" eb="7">
      <t>イガイ</t>
    </rPh>
    <phoneticPr fontId="2"/>
  </si>
  <si>
    <t>② 普通商業・併用住宅地区又は普通住宅地区に所在すること</t>
    <rPh sb="2" eb="4">
      <t>フツウ</t>
    </rPh>
    <rPh sb="4" eb="6">
      <t>ショウギョウ</t>
    </rPh>
    <rPh sb="7" eb="9">
      <t>ヘイヨウ</t>
    </rPh>
    <rPh sb="9" eb="11">
      <t>ジュウタク</t>
    </rPh>
    <rPh sb="11" eb="13">
      <t>チク</t>
    </rPh>
    <rPh sb="13" eb="14">
      <t>マタ</t>
    </rPh>
    <rPh sb="15" eb="17">
      <t>フツウ</t>
    </rPh>
    <rPh sb="17" eb="19">
      <t>ジュウタク</t>
    </rPh>
    <rPh sb="19" eb="21">
      <t>チク</t>
    </rPh>
    <rPh sb="22" eb="24">
      <t>ショザイ</t>
    </rPh>
    <phoneticPr fontId="2"/>
  </si>
  <si>
    <t>③ 調整区域の場合は、開発可能な区域であること</t>
    <rPh sb="2" eb="4">
      <t>チョウセイ</t>
    </rPh>
    <rPh sb="4" eb="6">
      <t>クイキ</t>
    </rPh>
    <rPh sb="7" eb="9">
      <t>バアイ</t>
    </rPh>
    <rPh sb="11" eb="13">
      <t>カイハツ</t>
    </rPh>
    <rPh sb="13" eb="15">
      <t>カノウ</t>
    </rPh>
    <rPh sb="16" eb="18">
      <t>クイキ</t>
    </rPh>
    <phoneticPr fontId="2"/>
  </si>
  <si>
    <t>④ 工業専用地域でないこと</t>
    <rPh sb="2" eb="4">
      <t>コウギョウ</t>
    </rPh>
    <rPh sb="4" eb="6">
      <t>センヨウ</t>
    </rPh>
    <rPh sb="6" eb="8">
      <t>チイキ</t>
    </rPh>
    <phoneticPr fontId="2"/>
  </si>
  <si>
    <t>（ＡからＨまでのうち該当するもの）</t>
    <rPh sb="10" eb="12">
      <t>ガイトウ</t>
    </rPh>
    <phoneticPr fontId="2"/>
  </si>
  <si>
    <t>⑩規模格差補正率表</t>
    <rPh sb="1" eb="3">
      <t>キボ</t>
    </rPh>
    <rPh sb="3" eb="5">
      <t>カクサ</t>
    </rPh>
    <phoneticPr fontId="2"/>
  </si>
  <si>
    <t>地域区分</t>
    <rPh sb="0" eb="2">
      <t>チイキ</t>
    </rPh>
    <rPh sb="2" eb="4">
      <t>クブン</t>
    </rPh>
    <phoneticPr fontId="2"/>
  </si>
  <si>
    <t>　　　　　　　　記号
　土地地積</t>
    <rPh sb="8" eb="10">
      <t>キゴウ</t>
    </rPh>
    <rPh sb="12" eb="14">
      <t>トチ</t>
    </rPh>
    <phoneticPr fontId="2"/>
  </si>
  <si>
    <t>Ⓑ</t>
    <phoneticPr fontId="2"/>
  </si>
  <si>
    <t>Ⓒ</t>
    <phoneticPr fontId="2"/>
  </si>
  <si>
    <t>Ⓒ</t>
    <phoneticPr fontId="2"/>
  </si>
  <si>
    <t>借地権
貸家建付</t>
    <rPh sb="0" eb="3">
      <t>シャクチケン</t>
    </rPh>
    <rPh sb="5" eb="6">
      <t>タイ</t>
    </rPh>
    <rPh sb="6" eb="7">
      <t>イエ</t>
    </rPh>
    <rPh sb="7" eb="9">
      <t>タテツ</t>
    </rPh>
    <phoneticPr fontId="2"/>
  </si>
  <si>
    <r>
      <rPr>
        <sz val="6.5"/>
        <rFont val="ＭＳ Ｐ明朝"/>
        <family val="1"/>
        <charset val="128"/>
      </rPr>
      <t>有する権利</t>
    </r>
    <r>
      <rPr>
        <sz val="7"/>
        <rFont val="ＭＳ Ｐ明朝"/>
        <family val="1"/>
        <charset val="128"/>
      </rPr>
      <t xml:space="preserve">
借家人の</t>
    </r>
    <rPh sb="0" eb="1">
      <t>ユウ</t>
    </rPh>
    <rPh sb="3" eb="4">
      <t>ケンリ</t>
    </rPh>
    <phoneticPr fontId="2"/>
  </si>
  <si>
    <t>区分地上権と区分地上権に準ずる地役権とが競合する場合については、備考欄等で計算してください。</t>
    <rPh sb="0" eb="2">
      <t>クブン</t>
    </rPh>
    <rPh sb="2" eb="5">
      <t>チジョウケン</t>
    </rPh>
    <rPh sb="6" eb="8">
      <t>クブン</t>
    </rPh>
    <rPh sb="8" eb="11">
      <t>チジョウケン</t>
    </rPh>
    <rPh sb="12" eb="13">
      <t>ジュン</t>
    </rPh>
    <rPh sb="15" eb="16">
      <t>チ</t>
    </rPh>
    <rPh sb="16" eb="17">
      <t>ヤク</t>
    </rPh>
    <rPh sb="17" eb="18">
      <t>ケン</t>
    </rPh>
    <rPh sb="20" eb="22">
      <t>キョウゴウ</t>
    </rPh>
    <rPh sb="24" eb="26">
      <t>バアイ</t>
    </rPh>
    <rPh sb="32" eb="36">
      <t>ビコウラントウ</t>
    </rPh>
    <rPh sb="37" eb="39">
      <t>ケイサン</t>
    </rPh>
    <phoneticPr fontId="2"/>
  </si>
  <si>
    <t>⑤ 容積率が400％（東京23区内は300％）以上でないこと</t>
    <rPh sb="2" eb="4">
      <t>ヨウセキ</t>
    </rPh>
    <rPh sb="4" eb="5">
      <t>リツ</t>
    </rPh>
    <rPh sb="11" eb="13">
      <t>トウキョウ</t>
    </rPh>
    <rPh sb="15" eb="17">
      <t>クナイ</t>
    </rPh>
    <rPh sb="23" eb="25">
      <t>イジョウ</t>
    </rPh>
    <phoneticPr fontId="2"/>
  </si>
  <si>
    <t>（Ｆ又はＧのうち該当するもの）</t>
    <rPh sb="2" eb="3">
      <t>マタ</t>
    </rPh>
    <phoneticPr fontId="2"/>
  </si>
  <si>
    <t>Ｆ又はＧのうち
該当するもの</t>
    <rPh sb="1" eb="2">
      <t>マタ</t>
    </rPh>
    <phoneticPr fontId="2"/>
  </si>
  <si>
    <r>
      <t xml:space="preserve">円 </t>
    </r>
    <r>
      <rPr>
        <sz val="9"/>
        <rFont val="ＭＳ Ｐ明朝"/>
        <family val="1"/>
        <charset val="128"/>
      </rPr>
      <t>×</t>
    </r>
    <rPh sb="0" eb="1">
      <t>エン</t>
    </rPh>
    <phoneticPr fontId="2"/>
  </si>
  <si>
    <t>＋</t>
    <phoneticPr fontId="2"/>
  </si>
  <si>
    <t>)÷</t>
    <phoneticPr fontId="2"/>
  </si>
  <si>
    <t>×0.8</t>
    <phoneticPr fontId="2"/>
  </si>
  <si>
    <t>＝</t>
    <phoneticPr fontId="2"/>
  </si>
  <si>
    <t>（地積（Ⓐ））</t>
    <rPh sb="1" eb="3">
      <t>チセキ</t>
    </rPh>
    <phoneticPr fontId="2"/>
  </si>
  <si>
    <t>（Ⓑ）</t>
    <phoneticPr fontId="2"/>
  </si>
  <si>
    <t>（Ⓒ）</t>
    <phoneticPr fontId="2"/>
  </si>
  <si>
    <t>㎡×</t>
    <phoneticPr fontId="2"/>
  </si>
  <si>
    <t>（</t>
    <phoneticPr fontId="2"/>
  </si>
  <si>
    <t>㎡</t>
    <phoneticPr fontId="2"/>
  </si>
  <si>
    <t>土地及び土地の存する権利の評価明細書 （第 ２ 表）</t>
    <rPh sb="0" eb="2">
      <t>トチ</t>
    </rPh>
    <rPh sb="2" eb="3">
      <t>オヨ</t>
    </rPh>
    <rPh sb="4" eb="6">
      <t>トチ</t>
    </rPh>
    <rPh sb="7" eb="8">
      <t>ソン</t>
    </rPh>
    <rPh sb="10" eb="12">
      <t>ケンリ</t>
    </rPh>
    <rPh sb="13" eb="15">
      <t>ヒョウカ</t>
    </rPh>
    <rPh sb="15" eb="17">
      <t>メイサイ</t>
    </rPh>
    <rPh sb="17" eb="18">
      <t>ショ</t>
    </rPh>
    <rPh sb="20" eb="21">
      <t>ダイ</t>
    </rPh>
    <rPh sb="24" eb="25">
      <t>ヒョウ</t>
    </rPh>
    <phoneticPr fontId="2"/>
  </si>
  <si>
    <t>備　　　考</t>
    <rPh sb="0" eb="1">
      <t>ビ</t>
    </rPh>
    <rPh sb="4" eb="5">
      <t>コウ</t>
    </rPh>
    <phoneticPr fontId="2"/>
  </si>
  <si>
    <t>(賃借割合）</t>
    <rPh sb="2" eb="3">
      <t>シャク</t>
    </rPh>
    <phoneticPr fontId="2"/>
  </si>
  <si>
    <t>● 注意事項</t>
    <rPh sb="2" eb="4">
      <t>チュウイ</t>
    </rPh>
    <rPh sb="4" eb="6">
      <t>ジコウ</t>
    </rPh>
    <phoneticPr fontId="2"/>
  </si>
  <si>
    <t>すべて使用者の責任において使用してください。</t>
    <rPh sb="3" eb="6">
      <t>シヨウシャ</t>
    </rPh>
    <rPh sb="7" eb="9">
      <t>セキニン</t>
    </rPh>
    <rPh sb="13" eb="15">
      <t>シヨウ</t>
    </rPh>
    <phoneticPr fontId="2"/>
  </si>
  <si>
    <t>①</t>
    <phoneticPr fontId="2"/>
  </si>
  <si>
    <t>②</t>
    <phoneticPr fontId="2"/>
  </si>
  <si>
    <t>● 特長</t>
    <rPh sb="2" eb="4">
      <t>トクチョウ</t>
    </rPh>
    <phoneticPr fontId="2"/>
  </si>
  <si>
    <t>　入力シート及び各入力欄に数字を入れることにより、奥行価格補正率ほかの各種補正率を自動的に</t>
    <rPh sb="1" eb="3">
      <t>ニュウリョク</t>
    </rPh>
    <rPh sb="6" eb="7">
      <t>オヨ</t>
    </rPh>
    <rPh sb="8" eb="9">
      <t>カク</t>
    </rPh>
    <rPh sb="9" eb="11">
      <t>ニュウリョク</t>
    </rPh>
    <rPh sb="11" eb="12">
      <t>ラン</t>
    </rPh>
    <rPh sb="13" eb="15">
      <t>スウジ</t>
    </rPh>
    <rPh sb="16" eb="17">
      <t>イ</t>
    </rPh>
    <rPh sb="25" eb="27">
      <t>オクユキ</t>
    </rPh>
    <rPh sb="27" eb="29">
      <t>カカク</t>
    </rPh>
    <rPh sb="29" eb="31">
      <t>ホセイ</t>
    </rPh>
    <rPh sb="31" eb="32">
      <t>リツ</t>
    </rPh>
    <rPh sb="35" eb="37">
      <t>カクシュ</t>
    </rPh>
    <rPh sb="37" eb="39">
      <t>ホセイ</t>
    </rPh>
    <rPh sb="39" eb="40">
      <t>リツ</t>
    </rPh>
    <rPh sb="41" eb="44">
      <t>ジドウテキ</t>
    </rPh>
    <phoneticPr fontId="2"/>
  </si>
  <si>
    <t>参照または計算して、評価額を自動計算してくれます。</t>
    <rPh sb="0" eb="2">
      <t>サンショウ</t>
    </rPh>
    <rPh sb="5" eb="7">
      <t>ケイサン</t>
    </rPh>
    <rPh sb="10" eb="13">
      <t>ヒョウカガク</t>
    </rPh>
    <rPh sb="14" eb="16">
      <t>ジドウ</t>
    </rPh>
    <rPh sb="16" eb="18">
      <t>ケイサン</t>
    </rPh>
    <phoneticPr fontId="2"/>
  </si>
  <si>
    <t>　共有持分のある土地やマンションの敷地権の計算に対応しています。</t>
    <rPh sb="1" eb="3">
      <t>キョウユウ</t>
    </rPh>
    <rPh sb="3" eb="4">
      <t>モ</t>
    </rPh>
    <rPh sb="4" eb="5">
      <t>ブン</t>
    </rPh>
    <rPh sb="8" eb="10">
      <t>トチ</t>
    </rPh>
    <rPh sb="17" eb="20">
      <t>シキチケン</t>
    </rPh>
    <rPh sb="21" eb="23">
      <t>ケイサン</t>
    </rPh>
    <rPh sb="24" eb="26">
      <t>タイオウ</t>
    </rPh>
    <phoneticPr fontId="2"/>
  </si>
  <si>
    <t>③</t>
    <phoneticPr fontId="2"/>
  </si>
  <si>
    <t>　正面路線の判定が誤っていた場合の、注意表示機能があります。</t>
    <rPh sb="1" eb="3">
      <t>ショウメン</t>
    </rPh>
    <rPh sb="3" eb="5">
      <t>ロセン</t>
    </rPh>
    <rPh sb="6" eb="8">
      <t>ハンテイ</t>
    </rPh>
    <rPh sb="9" eb="10">
      <t>アヤマ</t>
    </rPh>
    <rPh sb="14" eb="16">
      <t>バアイ</t>
    </rPh>
    <rPh sb="18" eb="20">
      <t>チュウイ</t>
    </rPh>
    <rPh sb="20" eb="22">
      <t>ヒョウジ</t>
    </rPh>
    <rPh sb="22" eb="24">
      <t>キノウ</t>
    </rPh>
    <phoneticPr fontId="2"/>
  </si>
  <si>
    <t>④</t>
    <phoneticPr fontId="2"/>
  </si>
  <si>
    <t>⑤</t>
    <phoneticPr fontId="2"/>
  </si>
  <si>
    <t>　側方又は裏面路線価の加算額の調整計算に対応しています。</t>
    <rPh sb="1" eb="3">
      <t>ソクホウ</t>
    </rPh>
    <rPh sb="3" eb="4">
      <t>マタ</t>
    </rPh>
    <rPh sb="5" eb="7">
      <t>リメン</t>
    </rPh>
    <rPh sb="7" eb="9">
      <t>ロセン</t>
    </rPh>
    <rPh sb="9" eb="10">
      <t>カ</t>
    </rPh>
    <phoneticPr fontId="2"/>
  </si>
  <si>
    <t>⑥</t>
    <phoneticPr fontId="2"/>
  </si>
  <si>
    <t>　奥行距離が平均奥行（地積÷間口距離）より大きかった場合の、注意表示機能があります。</t>
    <rPh sb="1" eb="3">
      <t>オクユキ</t>
    </rPh>
    <rPh sb="3" eb="5">
      <t>キョリ</t>
    </rPh>
    <rPh sb="6" eb="8">
      <t>ヘイキン</t>
    </rPh>
    <rPh sb="8" eb="10">
      <t>オクユキ</t>
    </rPh>
    <rPh sb="11" eb="13">
      <t>チセキ</t>
    </rPh>
    <rPh sb="14" eb="16">
      <t>マグチ</t>
    </rPh>
    <rPh sb="16" eb="18">
      <t>キョリ</t>
    </rPh>
    <rPh sb="21" eb="22">
      <t>オオ</t>
    </rPh>
    <rPh sb="26" eb="28">
      <t>バアイ</t>
    </rPh>
    <rPh sb="30" eb="32">
      <t>チュウイ</t>
    </rPh>
    <rPh sb="32" eb="34">
      <t>ヒョウジ</t>
    </rPh>
    <rPh sb="34" eb="36">
      <t>キノウ</t>
    </rPh>
    <phoneticPr fontId="2"/>
  </si>
  <si>
    <t>⑦</t>
    <phoneticPr fontId="2"/>
  </si>
  <si>
    <t>エクセルマクロは使用していません。</t>
    <rPh sb="8" eb="10">
      <t>シヨウ</t>
    </rPh>
    <phoneticPr fontId="2"/>
  </si>
  <si>
    <t>可能です。</t>
    <rPh sb="0" eb="2">
      <t>カノウ</t>
    </rPh>
    <phoneticPr fontId="2"/>
  </si>
  <si>
    <t>　したがって、ウイルス等の危険性が低く、また正規版を入手すれば自分用にカスタマイズすることも</t>
    <rPh sb="11" eb="12">
      <t>トウ</t>
    </rPh>
    <rPh sb="13" eb="16">
      <t>キケンセイ</t>
    </rPh>
    <rPh sb="17" eb="18">
      <t>ヒク</t>
    </rPh>
    <rPh sb="22" eb="24">
      <t>セイキ</t>
    </rPh>
    <rPh sb="24" eb="25">
      <t>バン</t>
    </rPh>
    <rPh sb="26" eb="28">
      <t>ニュウシュ</t>
    </rPh>
    <rPh sb="31" eb="34">
      <t>ジブンヨウ</t>
    </rPh>
    <phoneticPr fontId="2"/>
  </si>
  <si>
    <t>● 使用方法</t>
    <rPh sb="2" eb="4">
      <t>シヨウ</t>
    </rPh>
    <rPh sb="4" eb="6">
      <t>ホウホウ</t>
    </rPh>
    <phoneticPr fontId="2"/>
  </si>
  <si>
    <t>　評価明細書の第２表（裏面）を見なくても、おもて面（第１表）を見れば（最終）評価額が分かるように</t>
    <rPh sb="1" eb="3">
      <t>ヒョウカ</t>
    </rPh>
    <rPh sb="3" eb="6">
      <t>メイサイショ</t>
    </rPh>
    <rPh sb="7" eb="8">
      <t>ダイ</t>
    </rPh>
    <rPh sb="8" eb="10">
      <t>ニヒョウ</t>
    </rPh>
    <rPh sb="11" eb="13">
      <t>リメン</t>
    </rPh>
    <rPh sb="15" eb="16">
      <t>ミ</t>
    </rPh>
    <rPh sb="24" eb="25">
      <t>メン</t>
    </rPh>
    <rPh sb="26" eb="27">
      <t>ダイ</t>
    </rPh>
    <rPh sb="28" eb="29">
      <t>ヒョウ</t>
    </rPh>
    <rPh sb="31" eb="32">
      <t>ミ</t>
    </rPh>
    <rPh sb="35" eb="37">
      <t>サイシュウ</t>
    </rPh>
    <rPh sb="38" eb="41">
      <t>ヒョウカガク</t>
    </rPh>
    <rPh sb="42" eb="43">
      <t>ワ</t>
    </rPh>
    <phoneticPr fontId="2"/>
  </si>
  <si>
    <t>おもて面に最終評価額を表示する機能があります。</t>
    <rPh sb="3" eb="4">
      <t>メン</t>
    </rPh>
    <rPh sb="5" eb="7">
      <t>サイシュウ</t>
    </rPh>
    <rPh sb="7" eb="10">
      <t>ヒョウカガク</t>
    </rPh>
    <rPh sb="11" eb="13">
      <t>ヒョウジ</t>
    </rPh>
    <rPh sb="15" eb="17">
      <t>キノウ</t>
    </rPh>
    <phoneticPr fontId="2"/>
  </si>
  <si>
    <t>①</t>
    <phoneticPr fontId="2"/>
  </si>
  <si>
    <t>右にリスト選択ボタン▽が表示されますので、そのボタンを押して表示されるリストの中から該当するものを選んでください。</t>
    <rPh sb="0" eb="1">
      <t>ミギ</t>
    </rPh>
    <rPh sb="5" eb="7">
      <t>センタク</t>
    </rPh>
    <rPh sb="12" eb="14">
      <t>ヒョウジ</t>
    </rPh>
    <rPh sb="27" eb="28">
      <t>オ</t>
    </rPh>
    <rPh sb="30" eb="32">
      <t>ヒョウジ</t>
    </rPh>
    <rPh sb="39" eb="40">
      <t>ナカ</t>
    </rPh>
    <rPh sb="42" eb="44">
      <t>ガイトウ</t>
    </rPh>
    <rPh sb="49" eb="50">
      <t>エラ</t>
    </rPh>
    <phoneticPr fontId="2"/>
  </si>
  <si>
    <t>　緑色のセルは、リストから選択して入力するセルです。入力するにはそのセルをクリックしてください。</t>
    <rPh sb="1" eb="3">
      <t>ミドリイロ</t>
    </rPh>
    <rPh sb="13" eb="15">
      <t>センタク</t>
    </rPh>
    <rPh sb="17" eb="19">
      <t>ニュウリョク</t>
    </rPh>
    <rPh sb="26" eb="28">
      <t>ニュウリョク</t>
    </rPh>
    <phoneticPr fontId="2"/>
  </si>
  <si>
    <t>　水色のセルは、数字を入力するセルです。</t>
    <rPh sb="1" eb="3">
      <t>ミズイロ</t>
    </rPh>
    <rPh sb="8" eb="10">
      <t>スウジ</t>
    </rPh>
    <rPh sb="11" eb="13">
      <t>ニュウリョク</t>
    </rPh>
    <phoneticPr fontId="2"/>
  </si>
  <si>
    <t>　この水色のセルは、文字を入力するセルです。</t>
    <rPh sb="3" eb="5">
      <t>ミズイロ</t>
    </rPh>
    <rPh sb="10" eb="12">
      <t>モジ</t>
    </rPh>
    <rPh sb="13" eb="15">
      <t>ニュウリョク</t>
    </rPh>
    <phoneticPr fontId="2"/>
  </si>
  <si>
    <t>　この薄黄色のセルは、自動参照や計算式が入っているセルであり、セルに保護がかかっており入力はできません。</t>
    <rPh sb="3" eb="4">
      <t>ウス</t>
    </rPh>
    <rPh sb="4" eb="6">
      <t>キイロ</t>
    </rPh>
    <rPh sb="11" eb="13">
      <t>ジドウ</t>
    </rPh>
    <rPh sb="13" eb="15">
      <t>サンショウ</t>
    </rPh>
    <rPh sb="16" eb="18">
      <t>ケイサン</t>
    </rPh>
    <rPh sb="18" eb="19">
      <t>シキ</t>
    </rPh>
    <rPh sb="20" eb="21">
      <t>ハイ</t>
    </rPh>
    <rPh sb="34" eb="36">
      <t>ホゴ</t>
    </rPh>
    <rPh sb="43" eb="45">
      <t>ニュウリョク</t>
    </rPh>
    <phoneticPr fontId="2"/>
  </si>
  <si>
    <t xml:space="preserve"> この四角のボタンは、その項目に該当する場合には、クリックしてチェックを付けてください。</t>
    <rPh sb="3" eb="5">
      <t>シカク</t>
    </rPh>
    <rPh sb="13" eb="15">
      <t>コウモク</t>
    </rPh>
    <rPh sb="16" eb="18">
      <t>ガイトウ</t>
    </rPh>
    <rPh sb="20" eb="22">
      <t>バアイ</t>
    </rPh>
    <rPh sb="36" eb="37">
      <t>ツ</t>
    </rPh>
    <phoneticPr fontId="2"/>
  </si>
  <si>
    <t>　基本事項</t>
    <rPh sb="1" eb="3">
      <t>キホン</t>
    </rPh>
    <rPh sb="3" eb="5">
      <t>ジコウ</t>
    </rPh>
    <phoneticPr fontId="2"/>
  </si>
  <si>
    <t>　具体的な使用方法</t>
    <rPh sb="1" eb="4">
      <t>グタイテキ</t>
    </rPh>
    <rPh sb="5" eb="7">
      <t>シヨウ</t>
    </rPh>
    <rPh sb="7" eb="9">
      <t>ホウホウ</t>
    </rPh>
    <phoneticPr fontId="2"/>
  </si>
  <si>
    <t>● 【参考】 両面印刷の方法 （両面印刷対応のプリンターのみ）</t>
    <rPh sb="3" eb="5">
      <t>サンコウ</t>
    </rPh>
    <rPh sb="7" eb="9">
      <t>リョウメン</t>
    </rPh>
    <rPh sb="9" eb="11">
      <t>インサツ</t>
    </rPh>
    <rPh sb="12" eb="14">
      <t>ホウホウ</t>
    </rPh>
    <rPh sb="16" eb="18">
      <t>リョウメン</t>
    </rPh>
    <rPh sb="18" eb="20">
      <t>インサツ</t>
    </rPh>
    <rPh sb="20" eb="22">
      <t>タイオウ</t>
    </rPh>
    <phoneticPr fontId="2"/>
  </si>
  <si>
    <t>どのパソコンでも使用することができます。</t>
    <rPh sb="8" eb="10">
      <t>シヨウ</t>
    </rPh>
    <phoneticPr fontId="2"/>
  </si>
  <si>
    <t>　また、作成したファイルをコピーすれば、翌年以降の評価額の試算等にも活用できます。</t>
    <rPh sb="4" eb="6">
      <t>サクセイ</t>
    </rPh>
    <rPh sb="20" eb="22">
      <t>ヨクネン</t>
    </rPh>
    <rPh sb="22" eb="24">
      <t>イコウ</t>
    </rPh>
    <rPh sb="25" eb="28">
      <t>ヒョウカガク</t>
    </rPh>
    <rPh sb="29" eb="31">
      <t>シサン</t>
    </rPh>
    <rPh sb="31" eb="32">
      <t>トウ</t>
    </rPh>
    <rPh sb="34" eb="36">
      <t>カツヨウ</t>
    </rPh>
    <phoneticPr fontId="2"/>
  </si>
  <si>
    <t>⑧</t>
    <phoneticPr fontId="2"/>
  </si>
  <si>
    <t>(1)　入力シート欄の入力</t>
    <rPh sb="4" eb="6">
      <t>ニュウリョク</t>
    </rPh>
    <rPh sb="9" eb="10">
      <t>ラン</t>
    </rPh>
    <rPh sb="11" eb="13">
      <t>ニュウリョク</t>
    </rPh>
    <phoneticPr fontId="2"/>
  </si>
  <si>
    <t>・</t>
    <phoneticPr fontId="2"/>
  </si>
  <si>
    <t>5-2</t>
    <phoneticPr fontId="2"/>
  </si>
  <si>
    <t>不整形地補正</t>
    <rPh sb="0" eb="3">
      <t>フセイケイ</t>
    </rPh>
    <rPh sb="3" eb="4">
      <t>チ</t>
    </rPh>
    <rPh sb="4" eb="6">
      <t>ホセイ</t>
    </rPh>
    <phoneticPr fontId="2"/>
  </si>
  <si>
    <t>「想定整形地の間口」欄と「想定整形地の奥行」欄に、それぞれの数値を入れれば、あとは自動計算してくれます。</t>
    <rPh sb="1" eb="3">
      <t>ソウテイ</t>
    </rPh>
    <rPh sb="3" eb="5">
      <t>セイケイ</t>
    </rPh>
    <rPh sb="5" eb="6">
      <t>チ</t>
    </rPh>
    <rPh sb="7" eb="9">
      <t>マグチ</t>
    </rPh>
    <rPh sb="10" eb="11">
      <t>ラン</t>
    </rPh>
    <rPh sb="13" eb="15">
      <t>ソウテイ</t>
    </rPh>
    <rPh sb="15" eb="17">
      <t>セイケイ</t>
    </rPh>
    <rPh sb="17" eb="18">
      <t>チ</t>
    </rPh>
    <rPh sb="19" eb="21">
      <t>オクユキ</t>
    </rPh>
    <rPh sb="22" eb="23">
      <t>ラン</t>
    </rPh>
    <rPh sb="30" eb="32">
      <t>スウチ</t>
    </rPh>
    <rPh sb="33" eb="34">
      <t>イ</t>
    </rPh>
    <rPh sb="41" eb="43">
      <t>ジドウ</t>
    </rPh>
    <rPh sb="43" eb="45">
      <t>ケイサン</t>
    </rPh>
    <phoneticPr fontId="2"/>
  </si>
  <si>
    <t>規模格差補正</t>
    <rPh sb="0" eb="2">
      <t>キボ</t>
    </rPh>
    <rPh sb="2" eb="4">
      <t>カクサ</t>
    </rPh>
    <rPh sb="4" eb="6">
      <t>ホセイ</t>
    </rPh>
    <phoneticPr fontId="2"/>
  </si>
  <si>
    <t>該当する場合には、「三大都市圏」か「三大都市圏以外」のどちらかにチェックを入れれば、あとは自動計算してくれます。</t>
    <rPh sb="0" eb="2">
      <t>ガイトウ</t>
    </rPh>
    <rPh sb="4" eb="6">
      <t>バアイ</t>
    </rPh>
    <rPh sb="10" eb="12">
      <t>サンダイ</t>
    </rPh>
    <rPh sb="12" eb="14">
      <t>トシ</t>
    </rPh>
    <rPh sb="14" eb="15">
      <t>ケン</t>
    </rPh>
    <rPh sb="18" eb="20">
      <t>サンダイ</t>
    </rPh>
    <rPh sb="20" eb="23">
      <t>トシケン</t>
    </rPh>
    <rPh sb="23" eb="25">
      <t>イガイ</t>
    </rPh>
    <rPh sb="37" eb="38">
      <t>イ</t>
    </rPh>
    <rPh sb="45" eb="47">
      <t>ジドウ</t>
    </rPh>
    <rPh sb="47" eb="49">
      <t>ケイサン</t>
    </rPh>
    <phoneticPr fontId="2"/>
  </si>
  <si>
    <t>欄外に「地積規模の大きな宅地の評価」の要件確認欄がありますので、参考にしてください。</t>
    <rPh sb="0" eb="2">
      <t>ランガイ</t>
    </rPh>
    <rPh sb="4" eb="17">
      <t>チセキ</t>
    </rPh>
    <rPh sb="19" eb="21">
      <t>ヨウケン</t>
    </rPh>
    <rPh sb="21" eb="23">
      <t>カクニン</t>
    </rPh>
    <rPh sb="23" eb="24">
      <t>ラン</t>
    </rPh>
    <rPh sb="32" eb="34">
      <t>サンコウ</t>
    </rPh>
    <phoneticPr fontId="2"/>
  </si>
  <si>
    <t>７</t>
    <phoneticPr fontId="2"/>
  </si>
  <si>
    <t>無道路地</t>
    <rPh sb="0" eb="1">
      <t>ム</t>
    </rPh>
    <rPh sb="1" eb="3">
      <t>ドウロ</t>
    </rPh>
    <rPh sb="3" eb="4">
      <t>チ</t>
    </rPh>
    <phoneticPr fontId="2"/>
  </si>
  <si>
    <t>(2)　各補正欄の入力方法</t>
    <rPh sb="4" eb="5">
      <t>カク</t>
    </rPh>
    <rPh sb="5" eb="7">
      <t>ホセイ</t>
    </rPh>
    <rPh sb="7" eb="8">
      <t>ラン</t>
    </rPh>
    <rPh sb="9" eb="11">
      <t>ニュウリョク</t>
    </rPh>
    <rPh sb="11" eb="13">
      <t>ホウホウ</t>
    </rPh>
    <phoneticPr fontId="2"/>
  </si>
  <si>
    <t>８</t>
    <phoneticPr fontId="2"/>
  </si>
  <si>
    <t>がけ地等を有する宅地</t>
    <rPh sb="2" eb="3">
      <t>チ</t>
    </rPh>
    <rPh sb="3" eb="4">
      <t>トウ</t>
    </rPh>
    <rPh sb="5" eb="6">
      <t>ユウ</t>
    </rPh>
    <rPh sb="8" eb="10">
      <t>タクチ</t>
    </rPh>
    <phoneticPr fontId="2"/>
  </si>
  <si>
    <t>容積率の異なる地域</t>
    <rPh sb="0" eb="2">
      <t>ヨウセキ</t>
    </rPh>
    <rPh sb="2" eb="3">
      <t>リツ</t>
    </rPh>
    <rPh sb="4" eb="5">
      <t>コト</t>
    </rPh>
    <rPh sb="7" eb="9">
      <t>チイキ</t>
    </rPh>
    <phoneticPr fontId="2"/>
  </si>
  <si>
    <t>にわたる宅地</t>
    <rPh sb="4" eb="6">
      <t>タクチ</t>
    </rPh>
    <phoneticPr fontId="2"/>
  </si>
  <si>
    <t>容積率の異なる部分ごとに、その容積率と地積を入力してください。</t>
    <rPh sb="0" eb="2">
      <t>ヨウセキ</t>
    </rPh>
    <rPh sb="2" eb="3">
      <t>リツ</t>
    </rPh>
    <rPh sb="4" eb="5">
      <t>コト</t>
    </rPh>
    <rPh sb="7" eb="9">
      <t>ブブン</t>
    </rPh>
    <rPh sb="15" eb="17">
      <t>ヨウセキ</t>
    </rPh>
    <rPh sb="17" eb="18">
      <t>リツ</t>
    </rPh>
    <rPh sb="19" eb="21">
      <t>チセキ</t>
    </rPh>
    <rPh sb="22" eb="24">
      <t>ニュウリョク</t>
    </rPh>
    <phoneticPr fontId="2"/>
  </si>
  <si>
    <t>（容積率の入力は、例えば300％なら300と入力してください）</t>
    <rPh sb="1" eb="3">
      <t>ヨウセキ</t>
    </rPh>
    <rPh sb="3" eb="4">
      <t>リツ</t>
    </rPh>
    <rPh sb="5" eb="7">
      <t>ニュウリョク</t>
    </rPh>
    <rPh sb="9" eb="10">
      <t>タト</t>
    </rPh>
    <rPh sb="22" eb="24">
      <t>ニュウリョク</t>
    </rPh>
    <phoneticPr fontId="2"/>
  </si>
  <si>
    <t>10</t>
    <phoneticPr fontId="2"/>
  </si>
  <si>
    <t>私道</t>
    <rPh sb="0" eb="2">
      <t>シドウ</t>
    </rPh>
    <phoneticPr fontId="2"/>
  </si>
  <si>
    <t>該当する場合には、「通路部分の地積」欄を入力すれば、あとは自動計算してくれます。</t>
    <rPh sb="0" eb="2">
      <t>ガイトウ</t>
    </rPh>
    <rPh sb="4" eb="6">
      <t>バアイ</t>
    </rPh>
    <rPh sb="10" eb="14">
      <t>ツウロブブン</t>
    </rPh>
    <rPh sb="15" eb="17">
      <t>チセキ</t>
    </rPh>
    <rPh sb="18" eb="19">
      <t>ラン</t>
    </rPh>
    <rPh sb="20" eb="22">
      <t>ニュウリョク</t>
    </rPh>
    <rPh sb="29" eb="31">
      <t>ジドウ</t>
    </rPh>
    <rPh sb="31" eb="33">
      <t>ケイサン</t>
    </rPh>
    <phoneticPr fontId="2"/>
  </si>
  <si>
    <t>セットバックを要する宅地</t>
    <rPh sb="7" eb="8">
      <t>ヨウ</t>
    </rPh>
    <rPh sb="10" eb="12">
      <t>タクチ</t>
    </rPh>
    <phoneticPr fontId="2"/>
  </si>
  <si>
    <t>該当する場合には、「該当地積」欄を入力すれば、あとは自動計算してくれます。</t>
    <rPh sb="0" eb="2">
      <t>ガイトウ</t>
    </rPh>
    <rPh sb="4" eb="6">
      <t>バアイ</t>
    </rPh>
    <rPh sb="10" eb="12">
      <t>ガイトウ</t>
    </rPh>
    <rPh sb="12" eb="14">
      <t>チセキ</t>
    </rPh>
    <rPh sb="15" eb="16">
      <t>ラン</t>
    </rPh>
    <rPh sb="17" eb="19">
      <t>ニュウリョク</t>
    </rPh>
    <rPh sb="26" eb="30">
      <t>ジドウケイサン</t>
    </rPh>
    <phoneticPr fontId="2"/>
  </si>
  <si>
    <t>※該当地積とは、セットバックをしなければいけない部分の地積のことです。</t>
    <rPh sb="1" eb="3">
      <t>ガイトウ</t>
    </rPh>
    <rPh sb="3" eb="5">
      <t>チセキ</t>
    </rPh>
    <rPh sb="24" eb="26">
      <t>ブブン</t>
    </rPh>
    <rPh sb="27" eb="29">
      <t>チセキ</t>
    </rPh>
    <phoneticPr fontId="2"/>
  </si>
  <si>
    <t>N</t>
    <phoneticPr fontId="2"/>
  </si>
  <si>
    <t>都市計画道路予定地</t>
    <rPh sb="0" eb="4">
      <t>トシケイカク</t>
    </rPh>
    <rPh sb="4" eb="6">
      <t>ドウロ</t>
    </rPh>
    <rPh sb="6" eb="9">
      <t>ヨテイチ</t>
    </rPh>
    <phoneticPr fontId="2"/>
  </si>
  <si>
    <t>該当する場合には、「容積率」欄と「予定地地積」欄に数値を入力すれば、あとは自動計算してくれます。</t>
    <rPh sb="0" eb="2">
      <t>ガイトウ</t>
    </rPh>
    <rPh sb="4" eb="6">
      <t>バアイ</t>
    </rPh>
    <rPh sb="10" eb="12">
      <t>ヨウセキ</t>
    </rPh>
    <rPh sb="12" eb="13">
      <t>リツ</t>
    </rPh>
    <rPh sb="14" eb="15">
      <t>ラン</t>
    </rPh>
    <rPh sb="17" eb="20">
      <t>ヨテイチ</t>
    </rPh>
    <rPh sb="20" eb="22">
      <t>チセキ</t>
    </rPh>
    <rPh sb="23" eb="24">
      <t>ラン</t>
    </rPh>
    <rPh sb="25" eb="27">
      <t>スウチ</t>
    </rPh>
    <rPh sb="28" eb="30">
      <t>ニュウリョク</t>
    </rPh>
    <rPh sb="37" eb="41">
      <t>ジドウケイサン</t>
    </rPh>
    <phoneticPr fontId="2"/>
  </si>
  <si>
    <t>※この場合の容積率は、予定地部分の容積率ではなく、対象地全体の容積率になります。</t>
    <rPh sb="3" eb="5">
      <t>バアイ</t>
    </rPh>
    <rPh sb="6" eb="8">
      <t>ヨウセキ</t>
    </rPh>
    <rPh sb="8" eb="9">
      <t>リツ</t>
    </rPh>
    <rPh sb="11" eb="14">
      <t>ヨテイチ</t>
    </rPh>
    <rPh sb="14" eb="16">
      <t>ブブン</t>
    </rPh>
    <rPh sb="17" eb="19">
      <t>ヨウセキ</t>
    </rPh>
    <rPh sb="19" eb="20">
      <t>リツ</t>
    </rPh>
    <rPh sb="25" eb="28">
      <t>タイショウチ</t>
    </rPh>
    <rPh sb="28" eb="30">
      <t>ゼンタイ</t>
    </rPh>
    <rPh sb="31" eb="33">
      <t>ヨウセキ</t>
    </rPh>
    <rPh sb="33" eb="34">
      <t>リツ</t>
    </rPh>
    <phoneticPr fontId="2"/>
  </si>
  <si>
    <t>該当する場合には、チェックを入れれば、あとは自動計算してくれます。</t>
    <rPh sb="0" eb="2">
      <t>ガイトウ</t>
    </rPh>
    <rPh sb="4" eb="6">
      <t>バアイ</t>
    </rPh>
    <rPh sb="14" eb="15">
      <t>イ</t>
    </rPh>
    <rPh sb="22" eb="24">
      <t>ジドウ</t>
    </rPh>
    <rPh sb="24" eb="26">
      <t>ケイサン</t>
    </rPh>
    <phoneticPr fontId="2"/>
  </si>
  <si>
    <t>貸宅地や貸家建付地等</t>
    <rPh sb="0" eb="1">
      <t>カシ</t>
    </rPh>
    <rPh sb="1" eb="3">
      <t>タクチ</t>
    </rPh>
    <rPh sb="4" eb="6">
      <t>カシヤ</t>
    </rPh>
    <rPh sb="6" eb="8">
      <t>タテツケ</t>
    </rPh>
    <rPh sb="8" eb="9">
      <t>チ</t>
    </rPh>
    <rPh sb="9" eb="10">
      <t>トウ</t>
    </rPh>
    <phoneticPr fontId="2"/>
  </si>
  <si>
    <t>該当する欄の、「借地権割合」欄や「賃貸割合」欄を入力すれば計算してくれます。</t>
    <rPh sb="0" eb="2">
      <t>ガイトウ</t>
    </rPh>
    <rPh sb="4" eb="5">
      <t>ラン</t>
    </rPh>
    <rPh sb="8" eb="11">
      <t>シャクチケン</t>
    </rPh>
    <rPh sb="11" eb="13">
      <t>ワリアイ</t>
    </rPh>
    <rPh sb="14" eb="15">
      <t>ラン</t>
    </rPh>
    <rPh sb="17" eb="19">
      <t>チンタイ</t>
    </rPh>
    <rPh sb="19" eb="21">
      <t>ワリアイ</t>
    </rPh>
    <rPh sb="22" eb="23">
      <t>ラン</t>
    </rPh>
    <rPh sb="24" eb="26">
      <t>ニュウリョク</t>
    </rPh>
    <rPh sb="29" eb="31">
      <t>ケイサン</t>
    </rPh>
    <phoneticPr fontId="2"/>
  </si>
  <si>
    <t xml:space="preserve">  （対象地が、容積率の異なる地域にわたる場合には、加重平均した容積率を入力します。）</t>
    <rPh sb="3" eb="6">
      <t>タイショウチ</t>
    </rPh>
    <rPh sb="8" eb="10">
      <t>ヨウセキ</t>
    </rPh>
    <rPh sb="10" eb="11">
      <t>リツ</t>
    </rPh>
    <rPh sb="12" eb="13">
      <t>コト</t>
    </rPh>
    <rPh sb="15" eb="17">
      <t>チイキ</t>
    </rPh>
    <rPh sb="21" eb="23">
      <t>バアイ</t>
    </rPh>
    <rPh sb="26" eb="28">
      <t>カジュウ</t>
    </rPh>
    <rPh sb="28" eb="30">
      <t>ヘイキン</t>
    </rPh>
    <rPh sb="32" eb="34">
      <t>ヨウセキ</t>
    </rPh>
    <rPh sb="34" eb="35">
      <t>リツ</t>
    </rPh>
    <rPh sb="36" eb="38">
      <t>ニュウリョク</t>
    </rPh>
    <phoneticPr fontId="2"/>
  </si>
  <si>
    <t>※借地権割合の入力は、例えば60％なら0.6と入力してください。</t>
    <rPh sb="1" eb="4">
      <t>シャクチケン</t>
    </rPh>
    <rPh sb="4" eb="6">
      <t>ワリアイ</t>
    </rPh>
    <rPh sb="7" eb="9">
      <t>ニュウリョク</t>
    </rPh>
    <rPh sb="11" eb="12">
      <t>タト</t>
    </rPh>
    <rPh sb="23" eb="25">
      <t>ニュウリョク</t>
    </rPh>
    <phoneticPr fontId="2"/>
  </si>
  <si>
    <t>※賃貸割合の入力は、分母にその賃貸建物の全床面積を、分子には実際に賃貸していた部分の床面積を入力してください。</t>
    <rPh sb="1" eb="3">
      <t>チンタイ</t>
    </rPh>
    <rPh sb="3" eb="5">
      <t>ワリアイ</t>
    </rPh>
    <rPh sb="6" eb="8">
      <t>ニュウリョク</t>
    </rPh>
    <rPh sb="10" eb="12">
      <t>ブンボ</t>
    </rPh>
    <rPh sb="15" eb="17">
      <t>チンタイ</t>
    </rPh>
    <rPh sb="17" eb="19">
      <t>タテモノ</t>
    </rPh>
    <rPh sb="20" eb="21">
      <t>ゼン</t>
    </rPh>
    <rPh sb="21" eb="24">
      <t>ユカメンセキ</t>
    </rPh>
    <rPh sb="26" eb="28">
      <t>ブンシ</t>
    </rPh>
    <rPh sb="30" eb="32">
      <t>ジッサイ</t>
    </rPh>
    <rPh sb="33" eb="35">
      <t>チンタイ</t>
    </rPh>
    <rPh sb="39" eb="41">
      <t>ブブン</t>
    </rPh>
    <rPh sb="42" eb="45">
      <t>ユカメンセキ</t>
    </rPh>
    <rPh sb="46" eb="48">
      <t>ニュウリョク</t>
    </rPh>
    <phoneticPr fontId="2"/>
  </si>
  <si>
    <t>(3)　その他</t>
    <rPh sb="6" eb="7">
      <t>タ</t>
    </rPh>
    <phoneticPr fontId="2"/>
  </si>
  <si>
    <t>（表示例）</t>
    <rPh sb="1" eb="3">
      <t>ヒョウジ</t>
    </rPh>
    <rPh sb="3" eb="4">
      <t>レイ</t>
    </rPh>
    <phoneticPr fontId="2"/>
  </si>
  <si>
    <t>両面印刷対応のプリンタであれば、１表と２表を一枚の紙の両面に印刷することができます。</t>
    <rPh sb="0" eb="2">
      <t>リョウメン</t>
    </rPh>
    <rPh sb="2" eb="4">
      <t>インサツ</t>
    </rPh>
    <rPh sb="4" eb="6">
      <t>タイオウ</t>
    </rPh>
    <rPh sb="17" eb="18">
      <t>ヒョウ</t>
    </rPh>
    <rPh sb="20" eb="21">
      <t>ヒョウ</t>
    </rPh>
    <rPh sb="22" eb="23">
      <t>イチ</t>
    </rPh>
    <rPh sb="23" eb="24">
      <t>マイ</t>
    </rPh>
    <rPh sb="25" eb="26">
      <t>カミ</t>
    </rPh>
    <rPh sb="27" eb="29">
      <t>リョウメン</t>
    </rPh>
    <rPh sb="30" eb="32">
      <t>インサツ</t>
    </rPh>
    <phoneticPr fontId="2"/>
  </si>
  <si>
    <t>その設定方法は、インターネットで『エクセル　別シート　両面印刷』等のキーワードで検索すれば、設定方法が紹介されています。</t>
    <rPh sb="2" eb="4">
      <t>セッテイ</t>
    </rPh>
    <rPh sb="4" eb="6">
      <t>ホウホウ</t>
    </rPh>
    <rPh sb="22" eb="23">
      <t>ベツ</t>
    </rPh>
    <rPh sb="27" eb="29">
      <t>リョウメン</t>
    </rPh>
    <rPh sb="29" eb="31">
      <t>インサツ</t>
    </rPh>
    <rPh sb="32" eb="33">
      <t>トウ</t>
    </rPh>
    <rPh sb="40" eb="42">
      <t>ケンサク</t>
    </rPh>
    <rPh sb="46" eb="48">
      <t>セッテイ</t>
    </rPh>
    <rPh sb="48" eb="50">
      <t>ホウホウ</t>
    </rPh>
    <rPh sb="51" eb="53">
      <t>ショウカイ</t>
    </rPh>
    <phoneticPr fontId="2"/>
  </si>
  <si>
    <t>ポイントは、『Ctrl』キー（コントロールキー）を押しながら、両面印刷したいシートの下タブを複数選択することです。</t>
    <rPh sb="25" eb="26">
      <t>オ</t>
    </rPh>
    <rPh sb="31" eb="35">
      <t>リョウメンインサツ</t>
    </rPh>
    <rPh sb="42" eb="43">
      <t>シタ</t>
    </rPh>
    <rPh sb="46" eb="48">
      <t>フクスウ</t>
    </rPh>
    <rPh sb="48" eb="50">
      <t>センタク</t>
    </rPh>
    <phoneticPr fontId="2"/>
  </si>
  <si>
    <t>　なお、その補正率の参照や自動計算は、計算式（関数）の機能のみで対応しており、</t>
    <rPh sb="6" eb="8">
      <t>ホセイ</t>
    </rPh>
    <rPh sb="8" eb="9">
      <t>リツ</t>
    </rPh>
    <rPh sb="10" eb="12">
      <t>サンショウ</t>
    </rPh>
    <rPh sb="13" eb="15">
      <t>ジドウ</t>
    </rPh>
    <rPh sb="15" eb="17">
      <t>ケイサン</t>
    </rPh>
    <rPh sb="19" eb="22">
      <t>ケイサンシキ</t>
    </rPh>
    <rPh sb="23" eb="25">
      <t>カンスウ</t>
    </rPh>
    <rPh sb="27" eb="29">
      <t>キノウ</t>
    </rPh>
    <rPh sb="32" eb="34">
      <t>タイオウ</t>
    </rPh>
    <phoneticPr fontId="2"/>
  </si>
  <si>
    <t>６</t>
    <phoneticPr fontId="2"/>
  </si>
  <si>
    <t>９</t>
    <phoneticPr fontId="2"/>
  </si>
  <si>
    <t>大規模工場用地等</t>
    <rPh sb="0" eb="7">
      <t>ダイキボコウジョウヨウチ</t>
    </rPh>
    <rPh sb="7" eb="8">
      <t>トウ</t>
    </rPh>
    <phoneticPr fontId="2"/>
  </si>
  <si>
    <t>入力シートの「利用区分」欄を「私道」と選択すれば、自動計算してくれます。</t>
    <rPh sb="0" eb="2">
      <t>ニュウリョク</t>
    </rPh>
    <rPh sb="7" eb="9">
      <t>リヨウ</t>
    </rPh>
    <rPh sb="9" eb="11">
      <t>クブン</t>
    </rPh>
    <rPh sb="12" eb="13">
      <t>ラン</t>
    </rPh>
    <rPh sb="15" eb="17">
      <t>シドウ</t>
    </rPh>
    <rPh sb="19" eb="21">
      <t>センタク</t>
    </rPh>
    <rPh sb="25" eb="27">
      <t>ジドウ</t>
    </rPh>
    <rPh sb="27" eb="29">
      <t>ケイサン</t>
    </rPh>
    <phoneticPr fontId="2"/>
  </si>
  <si>
    <t>　１表（おもて面）の下欄外に、裏面（２表）で計算した場合の、（最終）評価額を表示できます。表示したい場合には、欄外の緑色セルをクリックし、該当するアルファベット記号を選択してください。</t>
    <rPh sb="2" eb="3">
      <t>ヒョウ</t>
    </rPh>
    <rPh sb="7" eb="8">
      <t>メン</t>
    </rPh>
    <rPh sb="10" eb="11">
      <t>シタ</t>
    </rPh>
    <rPh sb="11" eb="13">
      <t>ランガイ</t>
    </rPh>
    <rPh sb="15" eb="17">
      <t>リメン</t>
    </rPh>
    <rPh sb="19" eb="20">
      <t>ヒョウ</t>
    </rPh>
    <rPh sb="22" eb="24">
      <t>ケイサン</t>
    </rPh>
    <rPh sb="26" eb="28">
      <t>バアイ</t>
    </rPh>
    <rPh sb="31" eb="33">
      <t>サイシュウ</t>
    </rPh>
    <rPh sb="34" eb="37">
      <t>ヒョウカガク</t>
    </rPh>
    <rPh sb="38" eb="40">
      <t>ヒョウジ</t>
    </rPh>
    <rPh sb="45" eb="47">
      <t>ヒョウジ</t>
    </rPh>
    <rPh sb="50" eb="52">
      <t>バアイ</t>
    </rPh>
    <rPh sb="55" eb="56">
      <t>ラン</t>
    </rPh>
    <rPh sb="56" eb="57">
      <t>ガイ</t>
    </rPh>
    <rPh sb="58" eb="60">
      <t>ミドリイロ</t>
    </rPh>
    <rPh sb="69" eb="71">
      <t>ガイトウ</t>
    </rPh>
    <rPh sb="80" eb="82">
      <t>キゴウ</t>
    </rPh>
    <rPh sb="83" eb="85">
      <t>センタク</t>
    </rPh>
    <phoneticPr fontId="2"/>
  </si>
  <si>
    <r>
      <t>※ この表示を消したい場合には、緑色セルでマウスの右ボタンをクリックして表示されるメニューの『数式と値のクリア(</t>
    </r>
    <r>
      <rPr>
        <u/>
        <sz val="11"/>
        <rFont val="ＭＳ Ｐゴシック"/>
        <family val="3"/>
        <charset val="128"/>
      </rPr>
      <t>N</t>
    </r>
    <r>
      <rPr>
        <sz val="11"/>
        <rFont val="ＭＳ Ｐゴシック"/>
        <family val="3"/>
        <charset val="128"/>
      </rPr>
      <t>）』でクリアして消してください。</t>
    </r>
    <rPh sb="4" eb="6">
      <t>ヒョウジ</t>
    </rPh>
    <rPh sb="7" eb="8">
      <t>ケ</t>
    </rPh>
    <rPh sb="11" eb="13">
      <t>バアイ</t>
    </rPh>
    <rPh sb="16" eb="18">
      <t>ミドリイロ</t>
    </rPh>
    <rPh sb="25" eb="26">
      <t>ミギ</t>
    </rPh>
    <rPh sb="36" eb="38">
      <t>ヒョウジ</t>
    </rPh>
    <rPh sb="47" eb="49">
      <t>スウシキ</t>
    </rPh>
    <rPh sb="50" eb="51">
      <t>アタイ</t>
    </rPh>
    <rPh sb="65" eb="66">
      <t>ケ</t>
    </rPh>
    <phoneticPr fontId="2"/>
  </si>
  <si>
    <t>※複数シートの選択以外に、両面印刷のための設定が必要です。</t>
    <rPh sb="1" eb="3">
      <t>フクスウ</t>
    </rPh>
    <rPh sb="7" eb="9">
      <t>センタク</t>
    </rPh>
    <rPh sb="9" eb="11">
      <t>イガイ</t>
    </rPh>
    <rPh sb="13" eb="15">
      <t>リョウメン</t>
    </rPh>
    <rPh sb="15" eb="17">
      <t>インサツ</t>
    </rPh>
    <rPh sb="21" eb="23">
      <t>セッテイ</t>
    </rPh>
    <rPh sb="24" eb="26">
      <t>ヒツヨウ</t>
    </rPh>
    <phoneticPr fontId="2"/>
  </si>
  <si>
    <t>(借家権割合）</t>
    <phoneticPr fontId="2"/>
  </si>
  <si>
    <t>②</t>
    <phoneticPr fontId="2"/>
  </si>
  <si>
    <t xml:space="preserve">  このExcel評価明細書は、Microsoft® Excel® 2013で作成しています。（拡張子.xｌsx）</t>
    <rPh sb="9" eb="11">
      <t>ヒョウカ</t>
    </rPh>
    <rPh sb="11" eb="14">
      <t>メイサイショ</t>
    </rPh>
    <rPh sb="39" eb="41">
      <t>サクセイ</t>
    </rPh>
    <rPh sb="48" eb="51">
      <t>カクチョウシ</t>
    </rPh>
    <phoneticPr fontId="2"/>
  </si>
  <si>
    <t>使用するエクセルのバージョンによっては、読み込みできない場合があります。</t>
    <rPh sb="0" eb="2">
      <t>シヨウ</t>
    </rPh>
    <rPh sb="20" eb="21">
      <t>ヨ</t>
    </rPh>
    <rPh sb="22" eb="23">
      <t>コ</t>
    </rPh>
    <rPh sb="28" eb="30">
      <t>バアイ</t>
    </rPh>
    <phoneticPr fontId="2"/>
  </si>
  <si>
    <r>
      <t>については計算式を導入していないため、それらの計算には</t>
    </r>
    <r>
      <rPr>
        <sz val="11"/>
        <color rgb="FFFF0000"/>
        <rFont val="ＭＳ Ｐゴシック"/>
        <family val="3"/>
        <charset val="128"/>
      </rPr>
      <t>対応しておりません</t>
    </r>
    <r>
      <rPr>
        <sz val="11"/>
        <rFont val="ＭＳ Ｐゴシック"/>
        <family val="3"/>
        <charset val="128"/>
      </rPr>
      <t>。</t>
    </r>
    <rPh sb="5" eb="8">
      <t>ケイサンシキ</t>
    </rPh>
    <rPh sb="9" eb="11">
      <t>ドウニュウ</t>
    </rPh>
    <rPh sb="23" eb="25">
      <t>ケイサン</t>
    </rPh>
    <rPh sb="27" eb="29">
      <t>タイオウ</t>
    </rPh>
    <phoneticPr fontId="2"/>
  </si>
  <si>
    <t xml:space="preserve">  このExcel評価明細書は、国税庁様式の評価明細書を原則どおり使用して計算する前提で設計しているため</t>
    <rPh sb="9" eb="11">
      <t>ヒョウカ</t>
    </rPh>
    <rPh sb="11" eb="14">
      <t>メイサイショ</t>
    </rPh>
    <rPh sb="16" eb="19">
      <t>コクゼイチョウ</t>
    </rPh>
    <rPh sb="19" eb="21">
      <t>ヨウシキ</t>
    </rPh>
    <rPh sb="22" eb="24">
      <t>ヒョウカ</t>
    </rPh>
    <rPh sb="24" eb="27">
      <t>メイサイショ</t>
    </rPh>
    <rPh sb="28" eb="30">
      <t>ゲンソク</t>
    </rPh>
    <rPh sb="33" eb="35">
      <t>シヨウ</t>
    </rPh>
    <rPh sb="37" eb="39">
      <t>ケイサン</t>
    </rPh>
    <rPh sb="41" eb="43">
      <t>ゼンテイ</t>
    </rPh>
    <rPh sb="44" eb="46">
      <t>セッケイ</t>
    </rPh>
    <phoneticPr fontId="2"/>
  </si>
  <si>
    <t>国税庁様式の原則どおりの計算では対応できない計算方法等には対応していません。</t>
    <rPh sb="0" eb="3">
      <t>コクゼイチョウ</t>
    </rPh>
    <rPh sb="3" eb="5">
      <t>ヨウシキ</t>
    </rPh>
    <rPh sb="6" eb="8">
      <t>ゲンソク</t>
    </rPh>
    <rPh sb="12" eb="14">
      <t>ケイサン</t>
    </rPh>
    <rPh sb="16" eb="18">
      <t>タイオウ</t>
    </rPh>
    <rPh sb="22" eb="24">
      <t>ケイサン</t>
    </rPh>
    <rPh sb="24" eb="26">
      <t>ホウホウ</t>
    </rPh>
    <rPh sb="26" eb="27">
      <t>トウ</t>
    </rPh>
    <rPh sb="29" eb="31">
      <t>タイオウ</t>
    </rPh>
    <phoneticPr fontId="2"/>
  </si>
  <si>
    <t>（たとえば、不整形地補正や無道路地評価の際の差引き計算による方法など）</t>
    <rPh sb="6" eb="9">
      <t>フセイケイ</t>
    </rPh>
    <rPh sb="9" eb="10">
      <t>チ</t>
    </rPh>
    <rPh sb="10" eb="12">
      <t>ホセイ</t>
    </rPh>
    <rPh sb="13" eb="14">
      <t>ム</t>
    </rPh>
    <rPh sb="14" eb="16">
      <t>ドウロ</t>
    </rPh>
    <rPh sb="16" eb="17">
      <t>チ</t>
    </rPh>
    <rPh sb="17" eb="19">
      <t>ヒョウカ</t>
    </rPh>
    <rPh sb="20" eb="21">
      <t>サイ</t>
    </rPh>
    <rPh sb="22" eb="24">
      <t>サシヒキ</t>
    </rPh>
    <rPh sb="25" eb="27">
      <t>ケイサン</t>
    </rPh>
    <rPh sb="30" eb="32">
      <t>ホウホウ</t>
    </rPh>
    <phoneticPr fontId="2"/>
  </si>
  <si>
    <r>
      <t>（その場合には、</t>
    </r>
    <r>
      <rPr>
        <sz val="11"/>
        <color rgb="FF0000FF"/>
        <rFont val="ＭＳ Ｐゴシック"/>
        <family val="3"/>
        <charset val="128"/>
      </rPr>
      <t>手作業により正面路線価を入れ替え</t>
    </r>
    <r>
      <rPr>
        <sz val="11"/>
        <rFont val="ＭＳ Ｐゴシック"/>
        <family val="3"/>
        <charset val="128"/>
      </rPr>
      <t>てください。）</t>
    </r>
    <rPh sb="3" eb="5">
      <t>バアイ</t>
    </rPh>
    <rPh sb="8" eb="11">
      <t>テサギョウ</t>
    </rPh>
    <rPh sb="14" eb="16">
      <t>ショウメン</t>
    </rPh>
    <rPh sb="16" eb="19">
      <t>ロセンカ</t>
    </rPh>
    <rPh sb="20" eb="21">
      <t>イ</t>
    </rPh>
    <rPh sb="22" eb="23">
      <t>カ</t>
    </rPh>
    <phoneticPr fontId="2"/>
  </si>
  <si>
    <t>⇦</t>
    <phoneticPr fontId="2"/>
  </si>
  <si>
    <t>持分を乗じた後の地積</t>
    <rPh sb="0" eb="2">
      <t>モチブン</t>
    </rPh>
    <rPh sb="3" eb="4">
      <t>ジョウ</t>
    </rPh>
    <rPh sb="6" eb="7">
      <t>ゴ</t>
    </rPh>
    <rPh sb="8" eb="10">
      <t>チセキ</t>
    </rPh>
    <phoneticPr fontId="2"/>
  </si>
  <si>
    <t>Ｏ</t>
    <phoneticPr fontId="2"/>
  </si>
  <si>
    <t>　エクセルがあれば使用することができ、別にソフトを用意する必要がないため、（エクセルが入っていれば）</t>
    <rPh sb="9" eb="11">
      <t>シヨウ</t>
    </rPh>
    <rPh sb="19" eb="20">
      <t>ベツ</t>
    </rPh>
    <rPh sb="25" eb="27">
      <t>ヨウイ</t>
    </rPh>
    <rPh sb="29" eb="31">
      <t>ヒツヨウ</t>
    </rPh>
    <rPh sb="43" eb="44">
      <t>ハイ</t>
    </rPh>
    <phoneticPr fontId="2"/>
  </si>
  <si>
    <t>　国税庁の明細書様式に沿っていますので、そのまま相続税等の申告書に添付することもできます。</t>
    <rPh sb="1" eb="4">
      <t>コクゼイチョウ</t>
    </rPh>
    <rPh sb="5" eb="7">
      <t>メイサイ</t>
    </rPh>
    <rPh sb="7" eb="8">
      <t>ショ</t>
    </rPh>
    <rPh sb="8" eb="10">
      <t>ヨウシキ</t>
    </rPh>
    <rPh sb="11" eb="12">
      <t>ソ</t>
    </rPh>
    <rPh sb="24" eb="27">
      <t>ソウゾクゼイ</t>
    </rPh>
    <rPh sb="27" eb="28">
      <t>トウ</t>
    </rPh>
    <rPh sb="29" eb="32">
      <t>シンコクショ</t>
    </rPh>
    <rPh sb="33" eb="35">
      <t>テンプ</t>
    </rPh>
    <phoneticPr fontId="2"/>
  </si>
  <si>
    <r>
      <t>なお、</t>
    </r>
    <r>
      <rPr>
        <sz val="11"/>
        <color rgb="FFFF0000"/>
        <rFont val="ＭＳ Ｐゴシック"/>
        <family val="3"/>
        <charset val="128"/>
      </rPr>
      <t>正面路線に接する側の部分を最上段に入力</t>
    </r>
    <r>
      <rPr>
        <sz val="11"/>
        <rFont val="ＭＳ Ｐゴシック"/>
        <family val="3"/>
        <charset val="128"/>
      </rPr>
      <t>してください。これで、あとは自動計算してくれます。</t>
    </r>
    <rPh sb="3" eb="5">
      <t>ショウメン</t>
    </rPh>
    <rPh sb="5" eb="7">
      <t>ロセン</t>
    </rPh>
    <rPh sb="8" eb="9">
      <t>セッ</t>
    </rPh>
    <rPh sb="11" eb="12">
      <t>ガワ</t>
    </rPh>
    <rPh sb="13" eb="15">
      <t>ブブン</t>
    </rPh>
    <rPh sb="16" eb="18">
      <t>サイジョウ</t>
    </rPh>
    <rPh sb="18" eb="19">
      <t>ダン</t>
    </rPh>
    <rPh sb="20" eb="22">
      <t>ニュウリョク</t>
    </rPh>
    <phoneticPr fontId="2"/>
  </si>
  <si>
    <t>地積区分</t>
    <rPh sb="0" eb="2">
      <t>チセキ</t>
    </rPh>
    <rPh sb="2" eb="4">
      <t>クブン</t>
    </rPh>
    <phoneticPr fontId="2"/>
  </si>
  <si>
    <t>　</t>
    <phoneticPr fontId="2"/>
  </si>
  <si>
    <t>〔　</t>
    <phoneticPr fontId="2"/>
  </si>
  <si>
    <t>がけ地方位</t>
    <rPh sb="2" eb="3">
      <t>チ</t>
    </rPh>
    <rPh sb="3" eb="5">
      <t>ホウイ</t>
    </rPh>
    <phoneticPr fontId="2"/>
  </si>
  <si>
    <t>該当する場合には、「がけ地方位」をリストから選択し、「がけ地地積」欄を入力すれば、あとは自動計算してくれます。</t>
    <rPh sb="0" eb="2">
      <t>ガイトウ</t>
    </rPh>
    <rPh sb="4" eb="6">
      <t>バアイ</t>
    </rPh>
    <rPh sb="12" eb="13">
      <t>チ</t>
    </rPh>
    <rPh sb="13" eb="15">
      <t>ホウイ</t>
    </rPh>
    <rPh sb="22" eb="24">
      <t>センタク</t>
    </rPh>
    <rPh sb="29" eb="30">
      <t>チ</t>
    </rPh>
    <rPh sb="30" eb="32">
      <t>チセキ</t>
    </rPh>
    <rPh sb="33" eb="34">
      <t>ラン</t>
    </rPh>
    <rPh sb="35" eb="37">
      <t>ニュウリョク</t>
    </rPh>
    <rPh sb="44" eb="48">
      <t>ジドウケイサン</t>
    </rPh>
    <phoneticPr fontId="2"/>
  </si>
  <si>
    <t>地 目</t>
    <rPh sb="0" eb="1">
      <t>チ</t>
    </rPh>
    <rPh sb="2" eb="3">
      <t>メ</t>
    </rPh>
    <phoneticPr fontId="2"/>
  </si>
  <si>
    <t>宅地</t>
    <rPh sb="0" eb="2">
      <t>タクチ</t>
    </rPh>
    <phoneticPr fontId="2"/>
  </si>
  <si>
    <t>田</t>
    <rPh sb="0" eb="1">
      <t>タ</t>
    </rPh>
    <phoneticPr fontId="2"/>
  </si>
  <si>
    <t>畑</t>
    <rPh sb="0" eb="1">
      <t>ハタ</t>
    </rPh>
    <phoneticPr fontId="2"/>
  </si>
  <si>
    <t>山林</t>
    <rPh sb="0" eb="2">
      <t>サンリン</t>
    </rPh>
    <phoneticPr fontId="2"/>
  </si>
  <si>
    <t>雑種地</t>
    <rPh sb="0" eb="2">
      <t>ザッシュ</t>
    </rPh>
    <rPh sb="2" eb="3">
      <t>チ</t>
    </rPh>
    <phoneticPr fontId="2"/>
  </si>
  <si>
    <r>
      <t>③欄に対象地の地積を入力します。共有持分がある場合は、</t>
    </r>
    <r>
      <rPr>
        <b/>
        <u/>
        <sz val="11"/>
        <color rgb="FF0000FF"/>
        <rFont val="ＭＳ Ｐゴシック"/>
        <family val="3"/>
        <charset val="128"/>
      </rPr>
      <t>持分を掛ける前の地積</t>
    </r>
    <r>
      <rPr>
        <u/>
        <sz val="11"/>
        <rFont val="ＭＳ Ｐゴシック"/>
        <family val="3"/>
        <charset val="128"/>
      </rPr>
      <t>を入力</t>
    </r>
    <r>
      <rPr>
        <sz val="11"/>
        <rFont val="ＭＳ Ｐゴシック"/>
        <family val="3"/>
        <charset val="128"/>
      </rPr>
      <t>します。</t>
    </r>
    <rPh sb="1" eb="2">
      <t>ラン</t>
    </rPh>
    <rPh sb="3" eb="6">
      <t>タイショウチ</t>
    </rPh>
    <rPh sb="7" eb="9">
      <t>チセキ</t>
    </rPh>
    <rPh sb="10" eb="12">
      <t>ニュウリョク</t>
    </rPh>
    <rPh sb="16" eb="18">
      <t>キョウユウ</t>
    </rPh>
    <rPh sb="18" eb="20">
      <t>モチブン</t>
    </rPh>
    <rPh sb="23" eb="25">
      <t>バアイ</t>
    </rPh>
    <rPh sb="27" eb="29">
      <t>モチブン</t>
    </rPh>
    <rPh sb="30" eb="31">
      <t>カ</t>
    </rPh>
    <rPh sb="33" eb="34">
      <t>マエ</t>
    </rPh>
    <rPh sb="35" eb="37">
      <t>チセキ</t>
    </rPh>
    <rPh sb="38" eb="40">
      <t>ニュウリョク</t>
    </rPh>
    <phoneticPr fontId="2"/>
  </si>
  <si>
    <r>
      <t>※ 共有持分がない単独所有の場合には、</t>
    </r>
    <r>
      <rPr>
        <b/>
        <sz val="11"/>
        <color rgb="FF0000FF"/>
        <rFont val="ＭＳ Ｐゴシック"/>
        <family val="3"/>
        <charset val="128"/>
      </rPr>
      <t>④、⑤欄とも何も入力しない</t>
    </r>
    <r>
      <rPr>
        <sz val="11"/>
        <rFont val="ＭＳ Ｐゴシック"/>
        <family val="3"/>
        <charset val="128"/>
      </rPr>
      <t>でください。</t>
    </r>
    <rPh sb="2" eb="6">
      <t>キョウユウモチブン</t>
    </rPh>
    <rPh sb="9" eb="11">
      <t>タンドク</t>
    </rPh>
    <rPh sb="11" eb="13">
      <t>ショユウ</t>
    </rPh>
    <rPh sb="14" eb="16">
      <t>バアイ</t>
    </rPh>
    <rPh sb="22" eb="23">
      <t>ラン</t>
    </rPh>
    <rPh sb="25" eb="26">
      <t>ナニ</t>
    </rPh>
    <rPh sb="27" eb="29">
      <t>ニュウリョク</t>
    </rPh>
    <phoneticPr fontId="2"/>
  </si>
  <si>
    <t>⑥欄に正面路線の路線価を円単位で入力します。</t>
    <rPh sb="1" eb="2">
      <t>ラン</t>
    </rPh>
    <rPh sb="3" eb="5">
      <t>ショウメン</t>
    </rPh>
    <rPh sb="5" eb="7">
      <t>ロセン</t>
    </rPh>
    <rPh sb="8" eb="11">
      <t>ロセンカ</t>
    </rPh>
    <rPh sb="12" eb="13">
      <t>エン</t>
    </rPh>
    <rPh sb="13" eb="15">
      <t>タンイ</t>
    </rPh>
    <rPh sb="16" eb="18">
      <t>ニュウリョク</t>
    </rPh>
    <phoneticPr fontId="2"/>
  </si>
  <si>
    <t>⑨欄に裏面路線の路線価を円単位で入力します。</t>
    <rPh sb="1" eb="2">
      <t>ラン</t>
    </rPh>
    <rPh sb="3" eb="5">
      <t>リメン</t>
    </rPh>
    <rPh sb="5" eb="7">
      <t>ロセン</t>
    </rPh>
    <rPh sb="8" eb="11">
      <t>ロセンカ</t>
    </rPh>
    <rPh sb="12" eb="13">
      <t>エン</t>
    </rPh>
    <rPh sb="13" eb="15">
      <t>タンイ</t>
    </rPh>
    <rPh sb="16" eb="18">
      <t>ニュウリョク</t>
    </rPh>
    <phoneticPr fontId="2"/>
  </si>
  <si>
    <r>
      <t>⑩のチェック欄は、それぞれの側方路線が</t>
    </r>
    <r>
      <rPr>
        <sz val="11"/>
        <color rgb="FF0000FF"/>
        <rFont val="ＭＳ Ｐゴシック"/>
        <family val="3"/>
        <charset val="128"/>
      </rPr>
      <t>『準角地』</t>
    </r>
    <r>
      <rPr>
        <sz val="11"/>
        <rFont val="ＭＳ Ｐゴシック"/>
        <family val="3"/>
        <charset val="128"/>
      </rPr>
      <t>の場合にチェックを入れます。</t>
    </r>
    <rPh sb="6" eb="7">
      <t>ラン</t>
    </rPh>
    <rPh sb="14" eb="16">
      <t>ソクホウ</t>
    </rPh>
    <rPh sb="16" eb="18">
      <t>ロセン</t>
    </rPh>
    <rPh sb="20" eb="21">
      <t>ジュン</t>
    </rPh>
    <rPh sb="21" eb="23">
      <t>カドチ</t>
    </rPh>
    <rPh sb="25" eb="27">
      <t>バアイ</t>
    </rPh>
    <rPh sb="33" eb="34">
      <t>イ</t>
    </rPh>
    <phoneticPr fontId="2"/>
  </si>
  <si>
    <t>⑬欄は、正面路線から見た間口距離を入力します。</t>
    <rPh sb="1" eb="2">
      <t>ラン</t>
    </rPh>
    <rPh sb="4" eb="6">
      <t>ショウメン</t>
    </rPh>
    <rPh sb="6" eb="8">
      <t>ロセン</t>
    </rPh>
    <rPh sb="10" eb="11">
      <t>ミ</t>
    </rPh>
    <rPh sb="12" eb="14">
      <t>マグチ</t>
    </rPh>
    <rPh sb="14" eb="16">
      <t>キョリ</t>
    </rPh>
    <rPh sb="17" eb="19">
      <t>ニュウリョク</t>
    </rPh>
    <phoneticPr fontId="2"/>
  </si>
  <si>
    <t>⑭欄は、正面路線から見た奥行距離を入力しますが、ここに入力する数値は、平均奥行（地積÷間口距離）より大きくならないことに注意が必要です。</t>
    <rPh sb="1" eb="2">
      <t>ラン</t>
    </rPh>
    <rPh sb="4" eb="6">
      <t>ショウメン</t>
    </rPh>
    <rPh sb="6" eb="8">
      <t>ロセン</t>
    </rPh>
    <rPh sb="10" eb="11">
      <t>ミ</t>
    </rPh>
    <rPh sb="12" eb="14">
      <t>オクユキ</t>
    </rPh>
    <rPh sb="14" eb="16">
      <t>キョリ</t>
    </rPh>
    <rPh sb="17" eb="19">
      <t>ニュウリョク</t>
    </rPh>
    <rPh sb="27" eb="29">
      <t>ニュウリョク</t>
    </rPh>
    <rPh sb="31" eb="33">
      <t>スウチ</t>
    </rPh>
    <rPh sb="35" eb="37">
      <t>ヘイキン</t>
    </rPh>
    <rPh sb="37" eb="39">
      <t>オクユキ</t>
    </rPh>
    <rPh sb="40" eb="42">
      <t>チセキ</t>
    </rPh>
    <rPh sb="43" eb="45">
      <t>マグチ</t>
    </rPh>
    <rPh sb="45" eb="47">
      <t>キョリ</t>
    </rPh>
    <rPh sb="50" eb="51">
      <t>オオ</t>
    </rPh>
    <rPh sb="60" eb="62">
      <t>チュウイ</t>
    </rPh>
    <rPh sb="63" eb="65">
      <t>ヒツヨウ</t>
    </rPh>
    <phoneticPr fontId="2"/>
  </si>
  <si>
    <r>
      <t>⑯欄には、⑥～⑨欄の正面・側方・裏面の各路線価に、</t>
    </r>
    <r>
      <rPr>
        <sz val="11"/>
        <color rgb="FFFF0000"/>
        <rFont val="ＭＳ Ｐゴシック"/>
        <family val="3"/>
        <charset val="128"/>
      </rPr>
      <t>それぞれの地区区分による奥行価格補正率を乗じた後</t>
    </r>
    <r>
      <rPr>
        <sz val="11"/>
        <rFont val="ＭＳ Ｐゴシック"/>
        <family val="3"/>
        <charset val="128"/>
      </rPr>
      <t>の価格が（参考に）表示されます。</t>
    </r>
    <rPh sb="1" eb="2">
      <t>ラン</t>
    </rPh>
    <rPh sb="8" eb="9">
      <t>ラン</t>
    </rPh>
    <rPh sb="10" eb="12">
      <t>ショウメン</t>
    </rPh>
    <rPh sb="13" eb="15">
      <t>ソクホウ</t>
    </rPh>
    <rPh sb="16" eb="18">
      <t>リメン</t>
    </rPh>
    <rPh sb="19" eb="20">
      <t>カク</t>
    </rPh>
    <rPh sb="20" eb="23">
      <t>ロセンカ</t>
    </rPh>
    <rPh sb="30" eb="32">
      <t>チク</t>
    </rPh>
    <rPh sb="32" eb="34">
      <t>クブン</t>
    </rPh>
    <rPh sb="37" eb="43">
      <t>オクユキカカクホセイ</t>
    </rPh>
    <rPh sb="43" eb="44">
      <t>リツ</t>
    </rPh>
    <rPh sb="45" eb="46">
      <t>ジョウ</t>
    </rPh>
    <rPh sb="48" eb="49">
      <t>ゴ</t>
    </rPh>
    <rPh sb="50" eb="52">
      <t>カカク</t>
    </rPh>
    <rPh sb="54" eb="56">
      <t>サンコウ</t>
    </rPh>
    <rPh sb="58" eb="60">
      <t>ヒョウジ</t>
    </rPh>
    <phoneticPr fontId="2"/>
  </si>
  <si>
    <t>①欄の『地目』をリストから選択します。</t>
    <rPh sb="1" eb="2">
      <t>ラン</t>
    </rPh>
    <rPh sb="4" eb="6">
      <t>チモク</t>
    </rPh>
    <rPh sb="13" eb="15">
      <t>センタク</t>
    </rPh>
    <phoneticPr fontId="2"/>
  </si>
  <si>
    <t>②欄の『利用区分』をリストから選択します。</t>
    <rPh sb="1" eb="2">
      <t>ラン</t>
    </rPh>
    <rPh sb="4" eb="6">
      <t>リヨウ</t>
    </rPh>
    <rPh sb="6" eb="8">
      <t>クブン</t>
    </rPh>
    <rPh sb="15" eb="17">
      <t>センタク</t>
    </rPh>
    <phoneticPr fontId="2"/>
  </si>
  <si>
    <r>
      <t>共有持分がある場合には、⑤欄に</t>
    </r>
    <r>
      <rPr>
        <sz val="11"/>
        <color rgb="FFFF0000"/>
        <rFont val="ＭＳ Ｐゴシック"/>
        <family val="3"/>
        <charset val="128"/>
      </rPr>
      <t>分母</t>
    </r>
    <r>
      <rPr>
        <sz val="11"/>
        <rFont val="ＭＳ Ｐゴシック"/>
        <family val="3"/>
        <charset val="128"/>
      </rPr>
      <t>の数字を、④欄に</t>
    </r>
    <r>
      <rPr>
        <sz val="11"/>
        <color rgb="FFFF0000"/>
        <rFont val="ＭＳ Ｐゴシック"/>
        <family val="3"/>
        <charset val="128"/>
      </rPr>
      <t>分子</t>
    </r>
    <r>
      <rPr>
        <sz val="11"/>
        <rFont val="ＭＳ Ｐゴシック"/>
        <family val="3"/>
        <charset val="128"/>
      </rPr>
      <t>の数字を入力します。マンションの敷地権の場合も同様です。</t>
    </r>
    <rPh sb="0" eb="2">
      <t>キョウユウ</t>
    </rPh>
    <rPh sb="2" eb="4">
      <t>モチブン</t>
    </rPh>
    <rPh sb="7" eb="9">
      <t>バアイ</t>
    </rPh>
    <rPh sb="13" eb="14">
      <t>ラン</t>
    </rPh>
    <rPh sb="15" eb="17">
      <t>ブンボ</t>
    </rPh>
    <rPh sb="18" eb="20">
      <t>スウジ</t>
    </rPh>
    <rPh sb="23" eb="24">
      <t>ラン</t>
    </rPh>
    <rPh sb="25" eb="27">
      <t>ブンシ</t>
    </rPh>
    <rPh sb="28" eb="30">
      <t>スウジ</t>
    </rPh>
    <rPh sb="31" eb="33">
      <t>ニュウリョク</t>
    </rPh>
    <rPh sb="43" eb="46">
      <t>シキチケン</t>
    </rPh>
    <rPh sb="47" eb="49">
      <t>バアイ</t>
    </rPh>
    <rPh sb="50" eb="52">
      <t>ドウヨウ</t>
    </rPh>
    <phoneticPr fontId="2"/>
  </si>
  <si>
    <r>
      <t>⑦及び⑧欄に、側方路線の路線価を円単位で入力します。なお、</t>
    </r>
    <r>
      <rPr>
        <b/>
        <sz val="11"/>
        <color rgb="FF0000FF"/>
        <rFont val="ＭＳ Ｐゴシック"/>
        <family val="3"/>
        <charset val="128"/>
      </rPr>
      <t>側方路線がひとつのみの場合には⑦欄の方に入力</t>
    </r>
    <r>
      <rPr>
        <sz val="11"/>
        <rFont val="ＭＳ Ｐゴシック"/>
        <family val="3"/>
        <charset val="128"/>
      </rPr>
      <t>します。</t>
    </r>
    <rPh sb="1" eb="2">
      <t>オヨ</t>
    </rPh>
    <rPh sb="4" eb="5">
      <t>ラン</t>
    </rPh>
    <rPh sb="7" eb="9">
      <t>ソクホウ</t>
    </rPh>
    <rPh sb="9" eb="11">
      <t>ロセン</t>
    </rPh>
    <rPh sb="12" eb="15">
      <t>ロセンカ</t>
    </rPh>
    <rPh sb="16" eb="17">
      <t>エン</t>
    </rPh>
    <rPh sb="17" eb="19">
      <t>タンイ</t>
    </rPh>
    <rPh sb="20" eb="22">
      <t>ニュウリョク</t>
    </rPh>
    <rPh sb="29" eb="31">
      <t>ソクホウ</t>
    </rPh>
    <rPh sb="31" eb="33">
      <t>ロセン</t>
    </rPh>
    <rPh sb="40" eb="42">
      <t>バアイ</t>
    </rPh>
    <rPh sb="45" eb="46">
      <t>ラン</t>
    </rPh>
    <rPh sb="47" eb="48">
      <t>ホウ</t>
    </rPh>
    <rPh sb="49" eb="51">
      <t>ニュウリョク</t>
    </rPh>
    <phoneticPr fontId="2"/>
  </si>
  <si>
    <t>⑪欄は、正面路線の『地区区分』をリストから選択します。</t>
    <rPh sb="1" eb="2">
      <t>ラン</t>
    </rPh>
    <rPh sb="4" eb="6">
      <t>ショウメン</t>
    </rPh>
    <rPh sb="6" eb="8">
      <t>ロセン</t>
    </rPh>
    <rPh sb="10" eb="12">
      <t>チク</t>
    </rPh>
    <rPh sb="12" eb="14">
      <t>クブン</t>
    </rPh>
    <rPh sb="21" eb="23">
      <t>センタク</t>
    </rPh>
    <phoneticPr fontId="2"/>
  </si>
  <si>
    <t>⑫欄は、側方路線及び裏面路線の『地区区分』が正面路線のそれと異なる場合にはリストから選択し、正面路線と同じ場合には『正面路線に同じ』を選択します。</t>
    <rPh sb="1" eb="2">
      <t>ラン</t>
    </rPh>
    <rPh sb="4" eb="6">
      <t>ソクホウ</t>
    </rPh>
    <rPh sb="6" eb="8">
      <t>ロセン</t>
    </rPh>
    <rPh sb="8" eb="9">
      <t>オヨ</t>
    </rPh>
    <rPh sb="10" eb="12">
      <t>リメン</t>
    </rPh>
    <rPh sb="12" eb="14">
      <t>ロセン</t>
    </rPh>
    <rPh sb="16" eb="18">
      <t>チク</t>
    </rPh>
    <rPh sb="18" eb="20">
      <t>クブン</t>
    </rPh>
    <rPh sb="22" eb="24">
      <t>ショウメン</t>
    </rPh>
    <rPh sb="24" eb="26">
      <t>ロセン</t>
    </rPh>
    <rPh sb="30" eb="31">
      <t>コト</t>
    </rPh>
    <rPh sb="33" eb="35">
      <t>バアイ</t>
    </rPh>
    <rPh sb="42" eb="44">
      <t>センタク</t>
    </rPh>
    <rPh sb="46" eb="48">
      <t>ショウメン</t>
    </rPh>
    <rPh sb="48" eb="50">
      <t>ロセン</t>
    </rPh>
    <rPh sb="51" eb="52">
      <t>オナ</t>
    </rPh>
    <rPh sb="53" eb="55">
      <t>バアイ</t>
    </rPh>
    <rPh sb="58" eb="60">
      <t>ショウメン</t>
    </rPh>
    <rPh sb="60" eb="62">
      <t>ロセン</t>
    </rPh>
    <rPh sb="63" eb="64">
      <t>オナ</t>
    </rPh>
    <rPh sb="67" eb="69">
      <t>センタク</t>
    </rPh>
    <phoneticPr fontId="2"/>
  </si>
  <si>
    <r>
      <t>側方又は裏面路線の加算額の調整が必要な場合には、⑰欄に</t>
    </r>
    <r>
      <rPr>
        <sz val="11"/>
        <color rgb="FF0000FF"/>
        <rFont val="ＭＳ Ｐゴシック"/>
        <family val="3"/>
        <charset val="128"/>
      </rPr>
      <t>その路線の接する距離</t>
    </r>
    <r>
      <rPr>
        <sz val="11"/>
        <color rgb="FFFF0000"/>
        <rFont val="ＭＳ Ｐゴシック"/>
        <family val="3"/>
        <charset val="128"/>
      </rPr>
      <t>（分子）</t>
    </r>
    <r>
      <rPr>
        <sz val="11"/>
        <rFont val="ＭＳ Ｐゴシック"/>
        <family val="3"/>
        <charset val="128"/>
      </rPr>
      <t>を、⑱欄に</t>
    </r>
    <r>
      <rPr>
        <sz val="11"/>
        <color rgb="FF0000FF"/>
        <rFont val="ＭＳ Ｐゴシック"/>
        <family val="3"/>
        <charset val="128"/>
      </rPr>
      <t>その路線から見た想定整形地の間口距離</t>
    </r>
    <r>
      <rPr>
        <sz val="11"/>
        <color rgb="FFFF0000"/>
        <rFont val="ＭＳ Ｐゴシック"/>
        <family val="3"/>
        <charset val="128"/>
      </rPr>
      <t>（分母）</t>
    </r>
    <r>
      <rPr>
        <sz val="11"/>
        <rFont val="ＭＳ Ｐゴシック"/>
        <family val="3"/>
        <charset val="128"/>
      </rPr>
      <t>を入力してください。</t>
    </r>
    <rPh sb="0" eb="2">
      <t>ソクホウ</t>
    </rPh>
    <rPh sb="2" eb="3">
      <t>マタ</t>
    </rPh>
    <rPh sb="4" eb="6">
      <t>リメン</t>
    </rPh>
    <rPh sb="6" eb="8">
      <t>ロセン</t>
    </rPh>
    <rPh sb="9" eb="12">
      <t>カサンガク</t>
    </rPh>
    <rPh sb="13" eb="15">
      <t>チョウセイ</t>
    </rPh>
    <rPh sb="16" eb="18">
      <t>ヒツヨウ</t>
    </rPh>
    <rPh sb="19" eb="21">
      <t>バアイ</t>
    </rPh>
    <rPh sb="25" eb="26">
      <t>ラン</t>
    </rPh>
    <rPh sb="29" eb="31">
      <t>ロセン</t>
    </rPh>
    <rPh sb="32" eb="33">
      <t>セッ</t>
    </rPh>
    <rPh sb="35" eb="37">
      <t>キョリ</t>
    </rPh>
    <rPh sb="38" eb="40">
      <t>ブンシ</t>
    </rPh>
    <rPh sb="44" eb="45">
      <t>ラン</t>
    </rPh>
    <rPh sb="48" eb="50">
      <t>ロセン</t>
    </rPh>
    <rPh sb="52" eb="53">
      <t>ミ</t>
    </rPh>
    <rPh sb="54" eb="56">
      <t>ソウテイ</t>
    </rPh>
    <rPh sb="56" eb="58">
      <t>セイケイ</t>
    </rPh>
    <rPh sb="58" eb="59">
      <t>チ</t>
    </rPh>
    <rPh sb="60" eb="62">
      <t>マグチ</t>
    </rPh>
    <rPh sb="62" eb="64">
      <t>キョリ</t>
    </rPh>
    <rPh sb="65" eb="67">
      <t>ブンボ</t>
    </rPh>
    <rPh sb="69" eb="71">
      <t>ニュウリョク</t>
    </rPh>
    <phoneticPr fontId="2"/>
  </si>
  <si>
    <t>Ｐ</t>
    <phoneticPr fontId="2"/>
  </si>
  <si>
    <t>（平成三十一年一月分以降用）</t>
    <rPh sb="1" eb="2">
      <t>ヒラ</t>
    </rPh>
    <rPh sb="2" eb="3">
      <t>シゲル</t>
    </rPh>
    <rPh sb="3" eb="4">
      <t>サン</t>
    </rPh>
    <rPh sb="4" eb="5">
      <t>ジュウ</t>
    </rPh>
    <rPh sb="5" eb="6">
      <t>イチ</t>
    </rPh>
    <rPh sb="6" eb="7">
      <t>トシ</t>
    </rPh>
    <rPh sb="7" eb="9">
      <t>イチガツ</t>
    </rPh>
    <rPh sb="9" eb="10">
      <t>ブン</t>
    </rPh>
    <rPh sb="10" eb="11">
      <t>イ</t>
    </rPh>
    <rPh sb="11" eb="12">
      <t>ゴウ</t>
    </rPh>
    <rPh sb="12" eb="13">
      <t>ヨウ</t>
    </rPh>
    <phoneticPr fontId="2"/>
  </si>
  <si>
    <t>Ｕ</t>
  </si>
  <si>
    <t>Ｕ</t>
    <phoneticPr fontId="2"/>
  </si>
  <si>
    <t>Ｖ</t>
    <phoneticPr fontId="2"/>
  </si>
  <si>
    <t>Ｗ</t>
    <phoneticPr fontId="2"/>
  </si>
  <si>
    <t>X</t>
    <phoneticPr fontId="2"/>
  </si>
  <si>
    <t>AA</t>
    <phoneticPr fontId="2"/>
  </si>
  <si>
    <t>AB</t>
    <phoneticPr fontId="2"/>
  </si>
  <si>
    <t>（自用地の評価額又はT）</t>
    <rPh sb="1" eb="2">
      <t>ジ</t>
    </rPh>
    <rPh sb="2" eb="4">
      <t>ヨウチ</t>
    </rPh>
    <rPh sb="5" eb="8">
      <t>ヒョウカガク</t>
    </rPh>
    <rPh sb="8" eb="9">
      <t>マタ</t>
    </rPh>
    <phoneticPr fontId="2"/>
  </si>
  <si>
    <t>（Ｕ,ABのうちの該当記号）</t>
    <rPh sb="9" eb="11">
      <t>ガイトウ</t>
    </rPh>
    <rPh sb="11" eb="13">
      <t>キゴウ</t>
    </rPh>
    <phoneticPr fontId="2"/>
  </si>
  <si>
    <t>（Ｕ,Ｖ，ABのうちの該当記号）</t>
    <rPh sb="11" eb="13">
      <t>ガイトウ</t>
    </rPh>
    <rPh sb="13" eb="15">
      <t>キゴウ</t>
    </rPh>
    <phoneticPr fontId="2"/>
  </si>
  <si>
    <t>（Ｕ,Ｘ,ABのうちの該当記号）</t>
    <rPh sb="11" eb="13">
      <t>ガイトウ</t>
    </rPh>
    <rPh sb="13" eb="15">
      <t>キゴウ</t>
    </rPh>
    <phoneticPr fontId="2"/>
  </si>
  <si>
    <t>（Ｒ，Ｔのうちの該当記号）（</t>
    <rPh sb="8" eb="10">
      <t>ガイトウ</t>
    </rPh>
    <rPh sb="10" eb="12">
      <t>キゴウ</t>
    </rPh>
    <phoneticPr fontId="2"/>
  </si>
  <si>
    <t>（Ｕ,Ｚのうちの該当記号）（</t>
    <rPh sb="8" eb="10">
      <t>ガイトウ</t>
    </rPh>
    <rPh sb="10" eb="12">
      <t>キゴウ</t>
    </rPh>
    <phoneticPr fontId="2"/>
  </si>
  <si>
    <t>Ｖ</t>
    <phoneticPr fontId="2"/>
  </si>
  <si>
    <r>
      <t>土地及び土地の上に存する権利の評価明細書 （第</t>
    </r>
    <r>
      <rPr>
        <b/>
        <sz val="4"/>
        <rFont val="ＭＳ Ｐ明朝"/>
        <family val="1"/>
        <charset val="128"/>
      </rPr>
      <t xml:space="preserve"> </t>
    </r>
    <r>
      <rPr>
        <b/>
        <sz val="12"/>
        <rFont val="ＭＳ Ｐ明朝"/>
        <family val="1"/>
        <charset val="128"/>
      </rPr>
      <t>１</t>
    </r>
    <r>
      <rPr>
        <b/>
        <sz val="4"/>
        <rFont val="ＭＳ Ｐ明朝"/>
        <family val="1"/>
        <charset val="128"/>
      </rPr>
      <t xml:space="preserve"> </t>
    </r>
    <r>
      <rPr>
        <b/>
        <sz val="12"/>
        <rFont val="ＭＳ Ｐ明朝"/>
        <family val="1"/>
        <charset val="128"/>
      </rPr>
      <t>表）</t>
    </r>
    <rPh sb="0" eb="2">
      <t>トチ</t>
    </rPh>
    <rPh sb="2" eb="3">
      <t>オヨ</t>
    </rPh>
    <rPh sb="4" eb="6">
      <t>トチ</t>
    </rPh>
    <rPh sb="7" eb="8">
      <t>ウエ</t>
    </rPh>
    <rPh sb="9" eb="10">
      <t>ソン</t>
    </rPh>
    <rPh sb="12" eb="14">
      <t>ケンリ</t>
    </rPh>
    <rPh sb="15" eb="17">
      <t>ヒョウカ</t>
    </rPh>
    <rPh sb="17" eb="19">
      <t>メイサイ</t>
    </rPh>
    <rPh sb="19" eb="20">
      <t>ショ</t>
    </rPh>
    <rPh sb="22" eb="23">
      <t>ダイ</t>
    </rPh>
    <rPh sb="26" eb="27">
      <t>ヒョウ</t>
    </rPh>
    <phoneticPr fontId="2"/>
  </si>
  <si>
    <t>（平成三十一年一月分以降用）</t>
    <rPh sb="1" eb="2">
      <t>ヒラ</t>
    </rPh>
    <rPh sb="2" eb="3">
      <t>シゲル</t>
    </rPh>
    <rPh sb="4" eb="5">
      <t>ジュウ</t>
    </rPh>
    <rPh sb="5" eb="6">
      <t>イチ</t>
    </rPh>
    <rPh sb="6" eb="7">
      <t>トシ</t>
    </rPh>
    <rPh sb="7" eb="9">
      <t>イチガツ</t>
    </rPh>
    <rPh sb="9" eb="10">
      <t>ブン</t>
    </rPh>
    <rPh sb="10" eb="11">
      <t>イ</t>
    </rPh>
    <rPh sb="11" eb="12">
      <t>ゴウ</t>
    </rPh>
    <rPh sb="12" eb="13">
      <t>ヨウ</t>
    </rPh>
    <phoneticPr fontId="2"/>
  </si>
  <si>
    <t>転借権</t>
    <rPh sb="0" eb="2">
      <t>テンシャク</t>
    </rPh>
    <rPh sb="2" eb="3">
      <t>ケン</t>
    </rPh>
    <phoneticPr fontId="2"/>
  </si>
  <si>
    <t>借家人の有する権利</t>
    <rPh sb="0" eb="2">
      <t>シャクヤ</t>
    </rPh>
    <rPh sb="2" eb="3">
      <t>ニン</t>
    </rPh>
    <rPh sb="4" eb="5">
      <t>ユウ</t>
    </rPh>
    <rPh sb="7" eb="9">
      <t>ケンリ</t>
    </rPh>
    <phoneticPr fontId="2"/>
  </si>
  <si>
    <t>(間口狭小補正率)</t>
    <rPh sb="1" eb="3">
      <t>マグチ</t>
    </rPh>
    <rPh sb="3" eb="5">
      <t>キョウショウ</t>
    </rPh>
    <phoneticPr fontId="2"/>
  </si>
  <si>
    <t>(奥行長大補正率)</t>
    <phoneticPr fontId="2"/>
  </si>
  <si>
    <t>(奥行価格補正率)</t>
    <rPh sb="1" eb="3">
      <t>オクユキ</t>
    </rPh>
    <rPh sb="3" eb="5">
      <t>カカク</t>
    </rPh>
    <phoneticPr fontId="2"/>
  </si>
  <si>
    <t>(小数点以下２位未満切捨て)</t>
    <phoneticPr fontId="2"/>
  </si>
  <si>
    <t>8-1</t>
    <phoneticPr fontId="2"/>
  </si>
  <si>
    <t>8-2</t>
    <phoneticPr fontId="2"/>
  </si>
  <si>
    <t>　土砂災害特別警戒区域内にある宅地</t>
    <rPh sb="1" eb="3">
      <t>ドシャ</t>
    </rPh>
    <rPh sb="3" eb="5">
      <t>サイガイ</t>
    </rPh>
    <rPh sb="5" eb="7">
      <t>トクベツ</t>
    </rPh>
    <rPh sb="7" eb="9">
      <t>ケイカイ</t>
    </rPh>
    <rPh sb="9" eb="11">
      <t>クイキ</t>
    </rPh>
    <rPh sb="11" eb="12">
      <t>ナイ</t>
    </rPh>
    <rPh sb="15" eb="17">
      <t>タクチ</t>
    </rPh>
    <phoneticPr fontId="2"/>
  </si>
  <si>
    <t>※がけ地補正率の適用がある場合の特別警戒区域補正率の計算（0.5を下限とする。）</t>
    <phoneticPr fontId="2"/>
  </si>
  <si>
    <t>（特別警戒区域補正率表の補正率）</t>
    <phoneticPr fontId="2"/>
  </si>
  <si>
    <t>(がけ地補正率）</t>
    <phoneticPr fontId="2"/>
  </si>
  <si>
    <t>特別警戒区域補正率※</t>
    <phoneticPr fontId="2"/>
  </si>
  <si>
    <t>⑪特別警戒区域補正率表</t>
    <phoneticPr fontId="2"/>
  </si>
  <si>
    <t xml:space="preserve">
地積割合</t>
    <rPh sb="1" eb="3">
      <t>チセキ</t>
    </rPh>
    <rPh sb="3" eb="5">
      <t>ワリアイ</t>
    </rPh>
    <phoneticPr fontId="2"/>
  </si>
  <si>
    <t>　がけ他の方位
地積割合</t>
    <phoneticPr fontId="2"/>
  </si>
  <si>
    <t>補正率</t>
    <rPh sb="0" eb="2">
      <t>ホセイ</t>
    </rPh>
    <rPh sb="2" eb="3">
      <t>リツ</t>
    </rPh>
    <phoneticPr fontId="2"/>
  </si>
  <si>
    <t>特別警戒区域地積</t>
    <phoneticPr fontId="2"/>
  </si>
  <si>
    <t>地形図及び参考事項</t>
    <rPh sb="0" eb="1">
      <t>チ</t>
    </rPh>
    <rPh sb="1" eb="2">
      <t>カタチ</t>
    </rPh>
    <rPh sb="2" eb="3">
      <t>ズ</t>
    </rPh>
    <rPh sb="3" eb="4">
      <t>オヨ</t>
    </rPh>
    <phoneticPr fontId="2"/>
  </si>
  <si>
    <t>（ＡからＪまでのうち該当するもの）</t>
    <rPh sb="10" eb="12">
      <t>ガイトウ</t>
    </rPh>
    <phoneticPr fontId="2"/>
  </si>
  <si>
    <t>(ＡからＫまでのうち該当するもの)</t>
    <phoneticPr fontId="2"/>
  </si>
  <si>
    <t>（ＡからＬまでのうちの該当記号）</t>
    <rPh sb="13" eb="15">
      <t>キゴウ</t>
    </rPh>
    <phoneticPr fontId="2"/>
  </si>
  <si>
    <t>Ｊ</t>
    <phoneticPr fontId="2"/>
  </si>
  <si>
    <t>Ｋ</t>
    <phoneticPr fontId="2"/>
  </si>
  <si>
    <t>L</t>
    <phoneticPr fontId="2"/>
  </si>
  <si>
    <t>Ｍ</t>
    <phoneticPr fontId="2"/>
  </si>
  <si>
    <t>特別警戒区域地積割合</t>
    <rPh sb="0" eb="2">
      <t>トクベツ</t>
    </rPh>
    <rPh sb="2" eb="4">
      <t>ケイカイ</t>
    </rPh>
    <rPh sb="4" eb="6">
      <t>クイキ</t>
    </rPh>
    <rPh sb="6" eb="8">
      <t>チセキ</t>
    </rPh>
    <rPh sb="8" eb="10">
      <t>ワリアイ</t>
    </rPh>
    <phoneticPr fontId="2"/>
  </si>
  <si>
    <t>×</t>
    <phoneticPr fontId="2"/>
  </si>
  <si>
    <t>＝</t>
    <phoneticPr fontId="2"/>
  </si>
  <si>
    <t>Ｕ</t>
    <phoneticPr fontId="2"/>
  </si>
  <si>
    <t>セットバックを必要とする宅地の評価額（裏面Ｎの金額）</t>
    <rPh sb="7" eb="9">
      <t>ヒツヨウ</t>
    </rPh>
    <rPh sb="12" eb="14">
      <t>タクチ</t>
    </rPh>
    <rPh sb="15" eb="18">
      <t>ヒョウカガク</t>
    </rPh>
    <rPh sb="19" eb="21">
      <t>リメン</t>
    </rPh>
    <rPh sb="23" eb="25">
      <t>キンガク</t>
    </rPh>
    <phoneticPr fontId="2"/>
  </si>
  <si>
    <t>都市計画道路予定地の宅地の評価額（裏面Ｏの金額）</t>
    <rPh sb="0" eb="2">
      <t>トシ</t>
    </rPh>
    <rPh sb="2" eb="4">
      <t>ケイカク</t>
    </rPh>
    <rPh sb="4" eb="6">
      <t>ドウロ</t>
    </rPh>
    <rPh sb="6" eb="9">
      <t>ヨテイチ</t>
    </rPh>
    <rPh sb="10" eb="12">
      <t>タクチ</t>
    </rPh>
    <rPh sb="13" eb="16">
      <t>ヒョウカガク</t>
    </rPh>
    <rPh sb="17" eb="19">
      <t>リメン</t>
    </rPh>
    <rPh sb="21" eb="23">
      <t>キンガク</t>
    </rPh>
    <phoneticPr fontId="2"/>
  </si>
  <si>
    <t>大規模工場用地等の評価額（裏面Ｐの金額）</t>
    <rPh sb="9" eb="12">
      <t>ヒョウカガク</t>
    </rPh>
    <phoneticPr fontId="2"/>
  </si>
  <si>
    <t>貸宅地の評価額（裏面Ｒの金額）</t>
    <rPh sb="0" eb="1">
      <t>カシ</t>
    </rPh>
    <rPh sb="1" eb="3">
      <t>タクチ</t>
    </rPh>
    <rPh sb="4" eb="7">
      <t>ヒョウカガク</t>
    </rPh>
    <rPh sb="8" eb="10">
      <t>リメン</t>
    </rPh>
    <rPh sb="12" eb="14">
      <t>キンガク</t>
    </rPh>
    <phoneticPr fontId="2"/>
  </si>
  <si>
    <t>Ｓ</t>
    <phoneticPr fontId="2"/>
  </si>
  <si>
    <t>貸家建付地の評価額（裏面Ｓの金額）</t>
    <rPh sb="0" eb="4">
      <t>カシヤタテツ</t>
    </rPh>
    <rPh sb="4" eb="5">
      <t>チ</t>
    </rPh>
    <rPh sb="6" eb="9">
      <t>ヒョウカガク</t>
    </rPh>
    <rPh sb="10" eb="12">
      <t>リメン</t>
    </rPh>
    <rPh sb="14" eb="16">
      <t>キンガク</t>
    </rPh>
    <phoneticPr fontId="2"/>
  </si>
  <si>
    <t>借地権の評価額（裏面Ｕの金額）</t>
    <rPh sb="0" eb="3">
      <t>シャクチケン</t>
    </rPh>
    <rPh sb="4" eb="7">
      <t>ヒョウカガク</t>
    </rPh>
    <rPh sb="8" eb="10">
      <t>リメン</t>
    </rPh>
    <rPh sb="12" eb="14">
      <t>キンガク</t>
    </rPh>
    <phoneticPr fontId="2"/>
  </si>
  <si>
    <t>貸家建付借地権の金額（裏面Ｖの金額）</t>
    <rPh sb="0" eb="2">
      <t>カシヤ</t>
    </rPh>
    <rPh sb="2" eb="4">
      <t>タテツ</t>
    </rPh>
    <rPh sb="4" eb="7">
      <t>シャクチケン</t>
    </rPh>
    <rPh sb="8" eb="10">
      <t>キンガク</t>
    </rPh>
    <rPh sb="11" eb="13">
      <t>リメン</t>
    </rPh>
    <rPh sb="15" eb="17">
      <t>キンガク</t>
    </rPh>
    <phoneticPr fontId="2"/>
  </si>
  <si>
    <t>転貸借地権の金額（裏面Ｗの金額）</t>
    <rPh sb="0" eb="2">
      <t>テンタイ</t>
    </rPh>
    <rPh sb="2" eb="5">
      <t>シャクチケン</t>
    </rPh>
    <rPh sb="6" eb="8">
      <t>キンガク</t>
    </rPh>
    <rPh sb="9" eb="11">
      <t>リメン</t>
    </rPh>
    <rPh sb="13" eb="15">
      <t>キンガク</t>
    </rPh>
    <phoneticPr fontId="2"/>
  </si>
  <si>
    <t>転借権の金額（裏面Ｘの金額）</t>
    <rPh sb="0" eb="2">
      <t>テンシャク</t>
    </rPh>
    <rPh sb="2" eb="3">
      <t>ケン</t>
    </rPh>
    <rPh sb="4" eb="6">
      <t>キンガク</t>
    </rPh>
    <rPh sb="7" eb="9">
      <t>リメン</t>
    </rPh>
    <rPh sb="11" eb="13">
      <t>キンガク</t>
    </rPh>
    <phoneticPr fontId="2"/>
  </si>
  <si>
    <t>Ｙ</t>
    <phoneticPr fontId="2"/>
  </si>
  <si>
    <t>借家人の有する権利の評価額（裏面Ｙの金額）</t>
    <rPh sb="0" eb="2">
      <t>シャッカ</t>
    </rPh>
    <rPh sb="2" eb="3">
      <t>ニン</t>
    </rPh>
    <rPh sb="4" eb="5">
      <t>ユウ</t>
    </rPh>
    <rPh sb="7" eb="9">
      <t>ケンリ</t>
    </rPh>
    <rPh sb="10" eb="13">
      <t>ヒョウカガク</t>
    </rPh>
    <rPh sb="14" eb="16">
      <t>リメン</t>
    </rPh>
    <rPh sb="18" eb="20">
      <t>キンガク</t>
    </rPh>
    <phoneticPr fontId="2"/>
  </si>
  <si>
    <t>　</t>
    <phoneticPr fontId="2"/>
  </si>
  <si>
    <t>(　　　　　　　)</t>
    <phoneticPr fontId="2"/>
  </si>
  <si>
    <t>(　　　　　　　　)</t>
    <phoneticPr fontId="2"/>
  </si>
  <si>
    <r>
      <t>　ほとんどの欄に計算式を導入していますが、現段階では、第２表（裏面）の</t>
    </r>
    <r>
      <rPr>
        <sz val="11"/>
        <color rgb="FF0000FF"/>
        <rFont val="ＭＳ Ｐゴシック"/>
        <family val="3"/>
        <charset val="128"/>
      </rPr>
      <t>Q欄（ゴルフ場用地等）</t>
    </r>
    <r>
      <rPr>
        <sz val="11"/>
        <rFont val="ＭＳ Ｐゴシック"/>
        <family val="3"/>
        <charset val="128"/>
      </rPr>
      <t>、</t>
    </r>
    <rPh sb="6" eb="7">
      <t>ラン</t>
    </rPh>
    <rPh sb="8" eb="11">
      <t>ケイサンシキ</t>
    </rPh>
    <rPh sb="12" eb="14">
      <t>ドウニュウ</t>
    </rPh>
    <rPh sb="21" eb="24">
      <t>ゲンダンカイ</t>
    </rPh>
    <rPh sb="27" eb="28">
      <t>ダイ</t>
    </rPh>
    <rPh sb="29" eb="30">
      <t>ヒョウ</t>
    </rPh>
    <rPh sb="31" eb="33">
      <t>リメン</t>
    </rPh>
    <rPh sb="36" eb="37">
      <t>ラン</t>
    </rPh>
    <rPh sb="41" eb="42">
      <t>ジョウ</t>
    </rPh>
    <rPh sb="42" eb="44">
      <t>ヨウチ</t>
    </rPh>
    <rPh sb="44" eb="45">
      <t>トウ</t>
    </rPh>
    <phoneticPr fontId="2"/>
  </si>
  <si>
    <r>
      <rPr>
        <sz val="11"/>
        <color rgb="FF0000FF"/>
        <rFont val="ＭＳ Ｐゴシック"/>
        <family val="3"/>
        <charset val="128"/>
      </rPr>
      <t>Z欄（〇〇権）</t>
    </r>
    <r>
      <rPr>
        <sz val="11"/>
        <rFont val="ＭＳ Ｐゴシック"/>
        <family val="3"/>
        <charset val="128"/>
      </rPr>
      <t>、</t>
    </r>
    <r>
      <rPr>
        <sz val="11"/>
        <color rgb="FF0000FF"/>
        <rFont val="ＭＳ Ｐゴシック"/>
        <family val="3"/>
        <charset val="128"/>
      </rPr>
      <t>AA欄（権利が競合する場合の土地）</t>
    </r>
    <r>
      <rPr>
        <sz val="11"/>
        <rFont val="ＭＳ Ｐゴシック"/>
        <family val="3"/>
        <charset val="128"/>
      </rPr>
      <t>、</t>
    </r>
    <r>
      <rPr>
        <sz val="11"/>
        <color rgb="FF0000FF"/>
        <rFont val="ＭＳ Ｐゴシック"/>
        <family val="3"/>
        <charset val="128"/>
      </rPr>
      <t>AB欄（他の権利と競合する場合の権利）</t>
    </r>
    <r>
      <rPr>
        <sz val="11"/>
        <rFont val="ＭＳ Ｐゴシック"/>
        <family val="3"/>
        <charset val="128"/>
      </rPr>
      <t>の各欄</t>
    </r>
    <rPh sb="1" eb="2">
      <t>ラン</t>
    </rPh>
    <rPh sb="5" eb="6">
      <t>ケン</t>
    </rPh>
    <rPh sb="10" eb="11">
      <t>ラン</t>
    </rPh>
    <rPh sb="12" eb="14">
      <t>ケンリ</t>
    </rPh>
    <rPh sb="15" eb="17">
      <t>キョウゴウ</t>
    </rPh>
    <rPh sb="19" eb="21">
      <t>バアイ</t>
    </rPh>
    <rPh sb="22" eb="24">
      <t>トチ</t>
    </rPh>
    <rPh sb="28" eb="29">
      <t>ラン</t>
    </rPh>
    <rPh sb="30" eb="31">
      <t>タ</t>
    </rPh>
    <rPh sb="32" eb="34">
      <t>ケンリ</t>
    </rPh>
    <rPh sb="35" eb="37">
      <t>キョウゴウ</t>
    </rPh>
    <rPh sb="39" eb="41">
      <t>バアイ</t>
    </rPh>
    <rPh sb="42" eb="44">
      <t>ケンリ</t>
    </rPh>
    <rPh sb="46" eb="47">
      <t>カク</t>
    </rPh>
    <rPh sb="47" eb="48">
      <t>ラン</t>
    </rPh>
    <phoneticPr fontId="2"/>
  </si>
  <si>
    <t>（平均奥行より大きな数値を入力すると注意表示が出ますので、数値が正しいか再確認して入力してください。）</t>
    <rPh sb="1" eb="5">
      <t>ヘイキンオクユキ</t>
    </rPh>
    <rPh sb="7" eb="8">
      <t>オオ</t>
    </rPh>
    <rPh sb="10" eb="12">
      <t>スウチ</t>
    </rPh>
    <rPh sb="13" eb="15">
      <t>ニュウリョク</t>
    </rPh>
    <rPh sb="18" eb="20">
      <t>チュウイ</t>
    </rPh>
    <rPh sb="20" eb="22">
      <t>ヒョウジ</t>
    </rPh>
    <rPh sb="23" eb="24">
      <t>デ</t>
    </rPh>
    <rPh sb="29" eb="31">
      <t>スウチ</t>
    </rPh>
    <rPh sb="32" eb="33">
      <t>タダ</t>
    </rPh>
    <rPh sb="36" eb="39">
      <t>サイカクニン</t>
    </rPh>
    <rPh sb="41" eb="43">
      <t>ニュウリョク</t>
    </rPh>
    <phoneticPr fontId="2"/>
  </si>
  <si>
    <t>P</t>
    <phoneticPr fontId="2"/>
  </si>
  <si>
    <t>R～Y</t>
    <phoneticPr fontId="2"/>
  </si>
  <si>
    <t>8-2</t>
    <phoneticPr fontId="2"/>
  </si>
  <si>
    <t>内にある宅地</t>
    <phoneticPr fontId="2"/>
  </si>
  <si>
    <t>該当する場合には、「特別警戒区域地積」欄を入力すれば、あとは自動計算してくれます。</t>
    <rPh sb="0" eb="2">
      <t>ガイトウ</t>
    </rPh>
    <rPh sb="4" eb="6">
      <t>バアイ</t>
    </rPh>
    <rPh sb="10" eb="12">
      <t>トクベツ</t>
    </rPh>
    <rPh sb="12" eb="14">
      <t>ケイカイ</t>
    </rPh>
    <rPh sb="14" eb="16">
      <t>クイキ</t>
    </rPh>
    <rPh sb="16" eb="18">
      <t>チセキ</t>
    </rPh>
    <rPh sb="19" eb="20">
      <t>ラン</t>
    </rPh>
    <rPh sb="21" eb="23">
      <t>ニュウリョク</t>
    </rPh>
    <rPh sb="30" eb="34">
      <t>ジドウケイサン</t>
    </rPh>
    <phoneticPr fontId="2"/>
  </si>
  <si>
    <t>土砂災害特別警戒区域</t>
    <phoneticPr fontId="2"/>
  </si>
  <si>
    <t>なお、土砂災害特別警戒区域内にあり、かつ、がけ地を有する場合には、「がけ地方位」をリストから選択し、</t>
    <rPh sb="13" eb="14">
      <t>ナイ</t>
    </rPh>
    <rPh sb="23" eb="24">
      <t>チ</t>
    </rPh>
    <rPh sb="25" eb="26">
      <t>ユウ</t>
    </rPh>
    <rPh sb="28" eb="30">
      <t>バアイ</t>
    </rPh>
    <rPh sb="36" eb="37">
      <t>チ</t>
    </rPh>
    <rPh sb="37" eb="39">
      <t>ホウイ</t>
    </rPh>
    <rPh sb="46" eb="48">
      <t>センタク</t>
    </rPh>
    <phoneticPr fontId="2"/>
  </si>
  <si>
    <t>下欄の「がけ地地積」欄を入力します。</t>
    <rPh sb="0" eb="2">
      <t>カラン</t>
    </rPh>
    <phoneticPr fontId="2"/>
  </si>
  <si>
    <t>※「特別警戒区域内」と「がけ地を有する」の両方に該当する場合には8-2欄で計算し、</t>
    <rPh sb="2" eb="4">
      <t>トクベツ</t>
    </rPh>
    <rPh sb="4" eb="6">
      <t>ケイカイ</t>
    </rPh>
    <rPh sb="6" eb="8">
      <t>クイキ</t>
    </rPh>
    <rPh sb="8" eb="9">
      <t>ナイ</t>
    </rPh>
    <rPh sb="14" eb="15">
      <t>チ</t>
    </rPh>
    <rPh sb="16" eb="17">
      <t>ユウ</t>
    </rPh>
    <rPh sb="21" eb="23">
      <t>リョウホウ</t>
    </rPh>
    <rPh sb="24" eb="26">
      <t>ガイトウ</t>
    </rPh>
    <rPh sb="28" eb="30">
      <t>バアイ</t>
    </rPh>
    <rPh sb="35" eb="36">
      <t>ラン</t>
    </rPh>
    <rPh sb="37" eb="39">
      <t>ケイサン</t>
    </rPh>
    <phoneticPr fontId="2"/>
  </si>
  <si>
    <t>※ 8-1欄と8-2欄の両方に「がけ地地積」を入力しないでください。</t>
    <rPh sb="5" eb="6">
      <t>ラン</t>
    </rPh>
    <rPh sb="10" eb="11">
      <t>ラン</t>
    </rPh>
    <rPh sb="12" eb="14">
      <t>リョウホウ</t>
    </rPh>
    <rPh sb="18" eb="19">
      <t>チ</t>
    </rPh>
    <rPh sb="19" eb="21">
      <t>チセキ</t>
    </rPh>
    <rPh sb="23" eb="25">
      <t>ニュウリョク</t>
    </rPh>
    <phoneticPr fontId="2"/>
  </si>
  <si>
    <t>　 「がけ地を有する」のみに該当する場合は8-1欄で計算することがポイントです。</t>
    <rPh sb="7" eb="8">
      <t>ユウ</t>
    </rPh>
    <phoneticPr fontId="2"/>
  </si>
  <si>
    <r>
      <t xml:space="preserve">※ </t>
    </r>
    <r>
      <rPr>
        <sz val="11"/>
        <color rgb="FFFF0000"/>
        <rFont val="ＭＳ Ｐゴシック"/>
        <family val="3"/>
        <charset val="128"/>
      </rPr>
      <t>東西南北以外の方位（中間方位）の場合の計算には対応していません</t>
    </r>
    <r>
      <rPr>
        <sz val="11"/>
        <rFont val="ＭＳ Ｐゴシック"/>
        <family val="3"/>
        <charset val="128"/>
      </rPr>
      <t>。（8-2欄も同じ）</t>
    </r>
    <rPh sb="2" eb="4">
      <t>トウザイ</t>
    </rPh>
    <rPh sb="4" eb="6">
      <t>ナンボク</t>
    </rPh>
    <rPh sb="6" eb="8">
      <t>イガイ</t>
    </rPh>
    <rPh sb="9" eb="11">
      <t>ホウイ</t>
    </rPh>
    <rPh sb="12" eb="14">
      <t>チュウカン</t>
    </rPh>
    <rPh sb="14" eb="16">
      <t>ホウイ</t>
    </rPh>
    <rPh sb="18" eb="20">
      <t>バアイ</t>
    </rPh>
    <rPh sb="21" eb="23">
      <t>ケイサン</t>
    </rPh>
    <rPh sb="25" eb="27">
      <t>タイオウ</t>
    </rPh>
    <rPh sb="38" eb="39">
      <t>ラン</t>
    </rPh>
    <rPh sb="40" eb="41">
      <t>オナ</t>
    </rPh>
    <phoneticPr fontId="2"/>
  </si>
  <si>
    <t>都市計画道路予定地にも該当する場合には、裏面Oの容積率はこの加重平均容積率を入れます。</t>
    <rPh sb="0" eb="2">
      <t>トシ</t>
    </rPh>
    <rPh sb="2" eb="4">
      <t>ケイカク</t>
    </rPh>
    <rPh sb="4" eb="6">
      <t>ドウロ</t>
    </rPh>
    <rPh sb="6" eb="9">
      <t>ヨテイチ</t>
    </rPh>
    <rPh sb="11" eb="13">
      <t>ガイトウ</t>
    </rPh>
    <rPh sb="15" eb="17">
      <t>バアイ</t>
    </rPh>
    <rPh sb="20" eb="22">
      <t>リメン</t>
    </rPh>
    <rPh sb="24" eb="26">
      <t>ヨウセキ</t>
    </rPh>
    <rPh sb="26" eb="27">
      <t>リツ</t>
    </rPh>
    <rPh sb="30" eb="32">
      <t>カジュウ</t>
    </rPh>
    <rPh sb="32" eb="34">
      <t>ヘイキン</t>
    </rPh>
    <rPh sb="34" eb="36">
      <t>ヨウセキ</t>
    </rPh>
    <rPh sb="36" eb="37">
      <t>リツ</t>
    </rPh>
    <rPh sb="38" eb="39">
      <t>イ</t>
    </rPh>
    <phoneticPr fontId="2"/>
  </si>
  <si>
    <t>貸家建付地</t>
  </si>
  <si>
    <t>春日部市〇〇１丁目１番</t>
  </si>
  <si>
    <t>春日部市〇〇１丁目１</t>
    <phoneticPr fontId="2"/>
  </si>
  <si>
    <t>春日部市○○○3丁目5番16号</t>
    <phoneticPr fontId="2"/>
  </si>
  <si>
    <t>国税　太郎</t>
    <phoneticPr fontId="2"/>
  </si>
  <si>
    <t>春日部市〇〇１丁目１番</t>
    <phoneticPr fontId="2"/>
  </si>
  <si>
    <t>税務　二郎</t>
    <phoneticPr fontId="2"/>
  </si>
  <si>
    <t>春日部</t>
    <phoneticPr fontId="2"/>
  </si>
  <si>
    <t>Ｓ</t>
  </si>
  <si>
    <t>側方路線価は、その接する距離により加算額を調整
容積率の異なる地域にわたる宅地
容積率400％：625.00㎡
　同　200％：500.00㎡
都市計画道路予定地：50.00㎡
容積率（加重平均）311.1％</t>
    <phoneticPr fontId="2"/>
  </si>
  <si>
    <t>南</t>
    <rPh sb="0" eb="1">
      <t>ミナミ</t>
    </rPh>
    <phoneticPr fontId="2"/>
  </si>
  <si>
    <t>東</t>
    <rPh sb="0" eb="1">
      <t>ヒガシ</t>
    </rPh>
    <phoneticPr fontId="2"/>
  </si>
  <si>
    <t>西</t>
    <rPh sb="0" eb="1">
      <t>ニシ</t>
    </rPh>
    <phoneticPr fontId="2"/>
  </si>
  <si>
    <t>北</t>
    <rPh sb="0" eb="1">
      <t>キタ</t>
    </rPh>
    <phoneticPr fontId="2"/>
  </si>
  <si>
    <t>　</t>
    <phoneticPr fontId="2"/>
  </si>
  <si>
    <t>　</t>
    <phoneticPr fontId="2"/>
  </si>
  <si>
    <t>　また、このExcel土地評価明細書には、特殊な土地の要件に該当するか否かの判定機能はありませんので、</t>
    <rPh sb="11" eb="13">
      <t>トチ</t>
    </rPh>
    <rPh sb="13" eb="15">
      <t>ヒョウカ</t>
    </rPh>
    <rPh sb="15" eb="18">
      <t>メイサイショ</t>
    </rPh>
    <rPh sb="21" eb="23">
      <t>トクシュ</t>
    </rPh>
    <rPh sb="24" eb="26">
      <t>トチ</t>
    </rPh>
    <rPh sb="27" eb="29">
      <t>ヨウケン</t>
    </rPh>
    <rPh sb="30" eb="32">
      <t>ガイトウ</t>
    </rPh>
    <rPh sb="35" eb="36">
      <t>イナ</t>
    </rPh>
    <rPh sb="38" eb="40">
      <t>ハンテイ</t>
    </rPh>
    <rPh sb="40" eb="42">
      <t>キノウ</t>
    </rPh>
    <phoneticPr fontId="2"/>
  </si>
  <si>
    <t>それら特殊な土地の評価においては、ご自身で、要件に該当するかどうかの確認を十分行ってください。</t>
    <rPh sb="3" eb="5">
      <t>トクシュ</t>
    </rPh>
    <rPh sb="6" eb="8">
      <t>トチ</t>
    </rPh>
    <rPh sb="9" eb="11">
      <t>ヒョウカ</t>
    </rPh>
    <rPh sb="18" eb="20">
      <t>ジシン</t>
    </rPh>
    <rPh sb="22" eb="24">
      <t>ヨウケン</t>
    </rPh>
    <rPh sb="25" eb="27">
      <t>ガイトウ</t>
    </rPh>
    <rPh sb="37" eb="39">
      <t>ジュウブン</t>
    </rPh>
    <rPh sb="39" eb="40">
      <t>オコナ</t>
    </rPh>
    <phoneticPr fontId="2"/>
  </si>
  <si>
    <t xml:space="preserve">  このExcel土地評価明細書を使用した計算過程や結果等については、作成者は一切の責任を負いません。</t>
    <rPh sb="11" eb="13">
      <t>ヒョウカ</t>
    </rPh>
    <rPh sb="13" eb="16">
      <t>メイサイショ</t>
    </rPh>
    <rPh sb="17" eb="19">
      <t>シヨウ</t>
    </rPh>
    <rPh sb="21" eb="23">
      <t>ケイサン</t>
    </rPh>
    <rPh sb="28" eb="29">
      <t>トウ</t>
    </rPh>
    <rPh sb="35" eb="38">
      <t>サクセイシャ</t>
    </rPh>
    <rPh sb="39" eb="41">
      <t>イッサイ</t>
    </rPh>
    <rPh sb="42" eb="44">
      <t>セキニン</t>
    </rPh>
    <rPh sb="45" eb="46">
      <t>オ</t>
    </rPh>
    <phoneticPr fontId="2"/>
  </si>
  <si>
    <t xml:space="preserve"> （ここでいう特殊な土地とは、下記「使用方法」の②(2)の5-2～9、N、O（不整形地や地積規模の大きな宅地等）のことをいいます）</t>
    <rPh sb="7" eb="9">
      <t>トクシュ</t>
    </rPh>
    <rPh sb="10" eb="12">
      <t>トチ</t>
    </rPh>
    <rPh sb="15" eb="17">
      <t>カキ</t>
    </rPh>
    <rPh sb="18" eb="20">
      <t>シヨウ</t>
    </rPh>
    <rPh sb="20" eb="22">
      <t>ホウホウ</t>
    </rPh>
    <rPh sb="39" eb="42">
      <t>フセイケイ</t>
    </rPh>
    <rPh sb="42" eb="43">
      <t>チ</t>
    </rPh>
    <rPh sb="44" eb="46">
      <t>チセキ</t>
    </rPh>
    <rPh sb="46" eb="48">
      <t>キボ</t>
    </rPh>
    <rPh sb="49" eb="50">
      <t>オオ</t>
    </rPh>
    <rPh sb="52" eb="54">
      <t>タクチ</t>
    </rPh>
    <rPh sb="54" eb="55">
      <t>トウ</t>
    </rPh>
    <phoneticPr fontId="2"/>
  </si>
  <si>
    <r>
      <t xml:space="preserve">※ </t>
    </r>
    <r>
      <rPr>
        <sz val="11"/>
        <color rgb="FFFF0000"/>
        <rFont val="ＭＳ Ｐゴシック"/>
        <family val="3"/>
        <charset val="128"/>
      </rPr>
      <t>「ビル街地区」、「大工場地区」には不整形地補正の適用がないため、ここに数値を入れるとエラー表示になります</t>
    </r>
    <r>
      <rPr>
        <sz val="11"/>
        <rFont val="ＭＳ Ｐゴシック"/>
        <family val="3"/>
        <charset val="128"/>
      </rPr>
      <t>。</t>
    </r>
    <rPh sb="5" eb="6">
      <t>ガイ</t>
    </rPh>
    <rPh sb="6" eb="8">
      <t>チク</t>
    </rPh>
    <rPh sb="11" eb="14">
      <t>ダイコウジョウ</t>
    </rPh>
    <rPh sb="14" eb="16">
      <t>チク</t>
    </rPh>
    <rPh sb="19" eb="22">
      <t>フセイケイ</t>
    </rPh>
    <rPh sb="22" eb="23">
      <t>チ</t>
    </rPh>
    <rPh sb="23" eb="25">
      <t>ホセイ</t>
    </rPh>
    <rPh sb="26" eb="28">
      <t>テキヨウ</t>
    </rPh>
    <rPh sb="37" eb="39">
      <t>スウチ</t>
    </rPh>
    <rPh sb="40" eb="41">
      <t>イ</t>
    </rPh>
    <rPh sb="47" eb="49">
      <t>ヒョウジ</t>
    </rPh>
    <phoneticPr fontId="2"/>
  </si>
  <si>
    <r>
      <t xml:space="preserve">※ </t>
    </r>
    <r>
      <rPr>
        <sz val="11"/>
        <color rgb="FFFF0000"/>
        <rFont val="ＭＳ Ｐゴシック"/>
        <family val="3"/>
        <charset val="128"/>
      </rPr>
      <t>「地積」や「地区区分」による自動判定（エラー表示）機能はありませんので、チェックを入れる際には、要件確認を十分行ってください</t>
    </r>
    <r>
      <rPr>
        <sz val="11"/>
        <rFont val="ＭＳ Ｐゴシック"/>
        <family val="3"/>
        <charset val="128"/>
      </rPr>
      <t>。</t>
    </r>
    <rPh sb="3" eb="5">
      <t>チセキ</t>
    </rPh>
    <rPh sb="8" eb="10">
      <t>チク</t>
    </rPh>
    <rPh sb="10" eb="12">
      <t>クブン</t>
    </rPh>
    <rPh sb="16" eb="18">
      <t>ジドウ</t>
    </rPh>
    <rPh sb="18" eb="20">
      <t>ハンテイ</t>
    </rPh>
    <rPh sb="24" eb="26">
      <t>ヒョウジ</t>
    </rPh>
    <rPh sb="27" eb="29">
      <t>キノウ</t>
    </rPh>
    <rPh sb="43" eb="44">
      <t>イ</t>
    </rPh>
    <rPh sb="46" eb="47">
      <t>サイ</t>
    </rPh>
    <rPh sb="50" eb="52">
      <t>ヨウケン</t>
    </rPh>
    <rPh sb="52" eb="54">
      <t>カクニン</t>
    </rPh>
    <rPh sb="55" eb="57">
      <t>ジュウブン</t>
    </rPh>
    <rPh sb="57" eb="58">
      <t>オコナ</t>
    </rPh>
    <phoneticPr fontId="2"/>
  </si>
  <si>
    <r>
      <t xml:space="preserve">※ </t>
    </r>
    <r>
      <rPr>
        <sz val="11"/>
        <color rgb="FFFF0000"/>
        <rFont val="ＭＳ Ｐゴシック"/>
        <family val="3"/>
        <charset val="128"/>
      </rPr>
      <t>「高度商業、繁華街、普通商業・併用住宅、普通住宅」地区以外は、影響度の設定がありませんので計算は行いません</t>
    </r>
    <r>
      <rPr>
        <sz val="11"/>
        <rFont val="ＭＳ Ｐゴシック"/>
        <family val="3"/>
        <charset val="128"/>
      </rPr>
      <t>。</t>
    </r>
    <rPh sb="3" eb="5">
      <t>コウド</t>
    </rPh>
    <rPh sb="5" eb="7">
      <t>ショウギョウ</t>
    </rPh>
    <rPh sb="8" eb="11">
      <t>ハンカガイ</t>
    </rPh>
    <rPh sb="12" eb="14">
      <t>フツウ</t>
    </rPh>
    <rPh sb="14" eb="16">
      <t>ショウギョウ</t>
    </rPh>
    <rPh sb="17" eb="19">
      <t>ヘイヨウ</t>
    </rPh>
    <rPh sb="19" eb="21">
      <t>ジュウタク</t>
    </rPh>
    <rPh sb="22" eb="24">
      <t>フツウ</t>
    </rPh>
    <rPh sb="24" eb="26">
      <t>ジュウタク</t>
    </rPh>
    <rPh sb="27" eb="29">
      <t>チク</t>
    </rPh>
    <rPh sb="29" eb="31">
      <t>イガイ</t>
    </rPh>
    <rPh sb="33" eb="36">
      <t>エイキョウド</t>
    </rPh>
    <rPh sb="37" eb="39">
      <t>セッテイ</t>
    </rPh>
    <rPh sb="47" eb="49">
      <t>ケイサン</t>
    </rPh>
    <rPh sb="50" eb="51">
      <t>オコナ</t>
    </rPh>
    <phoneticPr fontId="2"/>
  </si>
  <si>
    <r>
      <t>※加算額の調整の意味が不明な方は、作成者のＨＰのブログ内の、</t>
    </r>
    <r>
      <rPr>
        <sz val="11"/>
        <color rgb="FF0000FF"/>
        <rFont val="ＭＳ Ｐゴシック"/>
        <family val="3"/>
        <charset val="128"/>
      </rPr>
      <t>2020/05/10</t>
    </r>
    <r>
      <rPr>
        <sz val="11"/>
        <rFont val="ＭＳ Ｐゴシック"/>
        <family val="3"/>
        <charset val="128"/>
      </rPr>
      <t>の記事『やさしい財産評価入門⑩～側方（二方）路線影響加算の注意点①』を参照してください。</t>
    </r>
    <rPh sb="1" eb="4">
      <t>カサンガク</t>
    </rPh>
    <rPh sb="5" eb="7">
      <t>チョウセイ</t>
    </rPh>
    <rPh sb="8" eb="10">
      <t>イミ</t>
    </rPh>
    <rPh sb="11" eb="13">
      <t>フメイ</t>
    </rPh>
    <rPh sb="14" eb="15">
      <t>カタ</t>
    </rPh>
    <rPh sb="17" eb="20">
      <t>サクセイシャ</t>
    </rPh>
    <rPh sb="27" eb="28">
      <t>ナイ</t>
    </rPh>
    <rPh sb="41" eb="43">
      <t>キジ</t>
    </rPh>
    <rPh sb="75" eb="77">
      <t>サンショウ</t>
    </rPh>
    <phoneticPr fontId="2"/>
  </si>
  <si>
    <t>https://excel-sozoku.jimdo.com/ブログ/</t>
    <phoneticPr fontId="2"/>
  </si>
  <si>
    <t>※ セルが緑色の部分は平成31年分以降で改正があった箇所</t>
    <rPh sb="5" eb="7">
      <t>ミドリイロ</t>
    </rPh>
    <rPh sb="8" eb="10">
      <t>ブブン</t>
    </rPh>
    <rPh sb="11" eb="13">
      <t>ヘイセイ</t>
    </rPh>
    <rPh sb="15" eb="16">
      <t>ネン</t>
    </rPh>
    <rPh sb="16" eb="17">
      <t>ブン</t>
    </rPh>
    <rPh sb="17" eb="19">
      <t>イコウ</t>
    </rPh>
    <rPh sb="20" eb="22">
      <t>カイセイ</t>
    </rPh>
    <rPh sb="26" eb="28">
      <t>カショ</t>
    </rPh>
    <phoneticPr fontId="2"/>
  </si>
  <si>
    <t>※ セルが黄色の部分は令和３年分以降で改正があった箇所</t>
    <rPh sb="5" eb="6">
      <t>キ</t>
    </rPh>
    <rPh sb="6" eb="7">
      <t>イロ</t>
    </rPh>
    <rPh sb="8" eb="10">
      <t>ブブン</t>
    </rPh>
    <rPh sb="11" eb="13">
      <t>レイワ</t>
    </rPh>
    <rPh sb="14" eb="15">
      <t>ネン</t>
    </rPh>
    <rPh sb="15" eb="16">
      <t>ブン</t>
    </rPh>
    <rPh sb="16" eb="18">
      <t>イコウ</t>
    </rPh>
    <rPh sb="19" eb="21">
      <t>カイセイ</t>
    </rPh>
    <rPh sb="25" eb="27">
      <t>カショ</t>
    </rPh>
    <phoneticPr fontId="2"/>
  </si>
  <si>
    <t>※ セルが水色の部分は平成30年以降で改正があった箇所</t>
    <rPh sb="5" eb="6">
      <t>ミズ</t>
    </rPh>
    <rPh sb="6" eb="7">
      <t>イロ</t>
    </rPh>
    <rPh sb="8" eb="10">
      <t>ブブン</t>
    </rPh>
    <rPh sb="11" eb="13">
      <t>ヘイセイ</t>
    </rPh>
    <rPh sb="15" eb="16">
      <t>ネン</t>
    </rPh>
    <rPh sb="16" eb="18">
      <t>イコウ</t>
    </rPh>
    <rPh sb="19" eb="21">
      <t>カイセイ</t>
    </rPh>
    <rPh sb="25" eb="27">
      <t>カショ</t>
    </rPh>
    <phoneticPr fontId="2"/>
  </si>
  <si>
    <t>普通商業・併用住宅地区</t>
  </si>
  <si>
    <t>このファイルは、令和３年以降分の相続税や贈与税の評価で使用するものです。
令和２年以前の相続等には、一部の補正率が異なるので使用できません。</t>
    <rPh sb="8" eb="10">
      <t>レイワ</t>
    </rPh>
    <rPh sb="11" eb="12">
      <t>ネン</t>
    </rPh>
    <rPh sb="12" eb="14">
      <t>イコウ</t>
    </rPh>
    <rPh sb="14" eb="15">
      <t>ブン</t>
    </rPh>
    <rPh sb="15" eb="16">
      <t>ヘイブン</t>
    </rPh>
    <rPh sb="16" eb="19">
      <t>ソウゾクゼイ</t>
    </rPh>
    <rPh sb="20" eb="23">
      <t>ゾウヨゼイ</t>
    </rPh>
    <rPh sb="24" eb="26">
      <t>ヒョウカ</t>
    </rPh>
    <rPh sb="27" eb="29">
      <t>シヨウ</t>
    </rPh>
    <rPh sb="37" eb="39">
      <t>レイワ</t>
    </rPh>
    <rPh sb="40" eb="43">
      <t>ネンイゼン</t>
    </rPh>
    <rPh sb="50" eb="52">
      <t>イチブ</t>
    </rPh>
    <rPh sb="53" eb="55">
      <t>ホセイ</t>
    </rPh>
    <rPh sb="55" eb="56">
      <t>リツ</t>
    </rPh>
    <rPh sb="57" eb="58">
      <t>コト</t>
    </rPh>
    <rPh sb="62" eb="64">
      <t>シヨウ</t>
    </rPh>
    <phoneticPr fontId="2"/>
  </si>
  <si>
    <r>
      <t>⑮欄には、⑦～⑨欄に側方又は裏面路線価を入力した場合に、その側方又は裏面路線から見た奥行距離を</t>
    </r>
    <r>
      <rPr>
        <b/>
        <sz val="11"/>
        <color rgb="FFFF0000"/>
        <rFont val="ＭＳ Ｐゴシック"/>
        <family val="3"/>
        <charset val="128"/>
      </rPr>
      <t>必ず</t>
    </r>
    <r>
      <rPr>
        <sz val="11"/>
        <rFont val="ＭＳ Ｐゴシック"/>
        <family val="3"/>
        <charset val="128"/>
      </rPr>
      <t>入力してください。</t>
    </r>
    <rPh sb="1" eb="2">
      <t>ラン</t>
    </rPh>
    <rPh sb="8" eb="9">
      <t>ラン</t>
    </rPh>
    <rPh sb="10" eb="12">
      <t>ソクホウ</t>
    </rPh>
    <rPh sb="12" eb="13">
      <t>マタ</t>
    </rPh>
    <rPh sb="14" eb="16">
      <t>リメン</t>
    </rPh>
    <rPh sb="16" eb="19">
      <t>ロセンカ</t>
    </rPh>
    <rPh sb="20" eb="22">
      <t>ニュウリョク</t>
    </rPh>
    <rPh sb="24" eb="26">
      <t>バアイ</t>
    </rPh>
    <rPh sb="30" eb="32">
      <t>ソクホウ</t>
    </rPh>
    <rPh sb="32" eb="33">
      <t>マタ</t>
    </rPh>
    <rPh sb="34" eb="36">
      <t>リメン</t>
    </rPh>
    <rPh sb="36" eb="38">
      <t>ロセン</t>
    </rPh>
    <rPh sb="40" eb="41">
      <t>ミ</t>
    </rPh>
    <rPh sb="42" eb="44">
      <t>オクユキ</t>
    </rPh>
    <rPh sb="44" eb="46">
      <t>キョリ</t>
    </rPh>
    <rPh sb="47" eb="48">
      <t>カナラ</t>
    </rPh>
    <rPh sb="49" eb="51">
      <t>ニュウリョク</t>
    </rPh>
    <phoneticPr fontId="2"/>
  </si>
  <si>
    <r>
      <t>（⑦～⑨欄に側方又は裏面路線価を入力した場合で、⑮欄に奥行距離を入力しないと、注意喚起のため</t>
    </r>
    <r>
      <rPr>
        <sz val="11"/>
        <color rgb="FFFF0000"/>
        <rFont val="ＭＳ Ｐゴシック"/>
        <family val="3"/>
        <charset val="128"/>
      </rPr>
      <t>セルが赤表示</t>
    </r>
    <r>
      <rPr>
        <sz val="11"/>
        <rFont val="ＭＳ Ｐゴシック"/>
        <family val="3"/>
        <charset val="128"/>
      </rPr>
      <t>されます。）</t>
    </r>
    <rPh sb="25" eb="26">
      <t>ラン</t>
    </rPh>
    <rPh sb="32" eb="34">
      <t>ニュウリョク</t>
    </rPh>
    <rPh sb="39" eb="41">
      <t>チュウイ</t>
    </rPh>
    <rPh sb="41" eb="43">
      <t>カンキ</t>
    </rPh>
    <rPh sb="49" eb="50">
      <t>アカ</t>
    </rPh>
    <rPh sb="50" eb="52">
      <t>ヒョウジ</t>
    </rPh>
    <phoneticPr fontId="2"/>
  </si>
  <si>
    <r>
      <t>（</t>
    </r>
    <r>
      <rPr>
        <sz val="11"/>
        <color rgb="FFFF0000"/>
        <rFont val="ＭＳ Ｐゴシック"/>
        <family val="3"/>
        <charset val="128"/>
      </rPr>
      <t>この⑯欄の価格の中で一番高いものが正面路線価となります</t>
    </r>
    <r>
      <rPr>
        <sz val="11"/>
        <rFont val="ＭＳ Ｐゴシック"/>
        <family val="3"/>
        <charset val="128"/>
      </rPr>
      <t>が、その判定が誤っていた場合には</t>
    </r>
    <r>
      <rPr>
        <sz val="11"/>
        <color rgb="FFFF0000"/>
        <rFont val="ＭＳ Ｐゴシック"/>
        <family val="3"/>
        <charset val="128"/>
      </rPr>
      <t>⑯欄が赤表示</t>
    </r>
    <r>
      <rPr>
        <sz val="11"/>
        <rFont val="ＭＳ Ｐゴシック"/>
        <family val="3"/>
        <charset val="128"/>
      </rPr>
      <t>されます。）</t>
    </r>
    <rPh sb="4" eb="5">
      <t>ラン</t>
    </rPh>
    <rPh sb="6" eb="8">
      <t>カカク</t>
    </rPh>
    <rPh sb="9" eb="10">
      <t>ナカ</t>
    </rPh>
    <rPh sb="11" eb="13">
      <t>イチバン</t>
    </rPh>
    <rPh sb="13" eb="14">
      <t>タカ</t>
    </rPh>
    <rPh sb="18" eb="20">
      <t>ショウメン</t>
    </rPh>
    <rPh sb="20" eb="23">
      <t>ロセンカ</t>
    </rPh>
    <rPh sb="32" eb="34">
      <t>ハンテイ</t>
    </rPh>
    <rPh sb="35" eb="36">
      <t>アヤマ</t>
    </rPh>
    <rPh sb="40" eb="42">
      <t>バアイ</t>
    </rPh>
    <rPh sb="45" eb="46">
      <t>ラン</t>
    </rPh>
    <rPh sb="47" eb="48">
      <t>アカ</t>
    </rPh>
    <rPh sb="48" eb="50">
      <t>ヒョウジ</t>
    </rPh>
    <phoneticPr fontId="2"/>
  </si>
  <si>
    <t>※都市計画道路予定地の補正率は、令和３年分から一部が改正されています。</t>
    <rPh sb="1" eb="3">
      <t>トシ</t>
    </rPh>
    <rPh sb="3" eb="5">
      <t>ケイカク</t>
    </rPh>
    <rPh sb="5" eb="7">
      <t>ドウロ</t>
    </rPh>
    <rPh sb="7" eb="10">
      <t>ヨテイチ</t>
    </rPh>
    <rPh sb="11" eb="13">
      <t>ホセイ</t>
    </rPh>
    <rPh sb="13" eb="14">
      <t>リツ</t>
    </rPh>
    <rPh sb="16" eb="18">
      <t>レイワ</t>
    </rPh>
    <rPh sb="19" eb="20">
      <t>ネン</t>
    </rPh>
    <rPh sb="20" eb="21">
      <t>ブン</t>
    </rPh>
    <rPh sb="23" eb="25">
      <t>イチブ</t>
    </rPh>
    <rPh sb="26" eb="28">
      <t>カイセイ</t>
    </rPh>
    <phoneticPr fontId="2"/>
  </si>
  <si>
    <t>側方①</t>
    <rPh sb="0" eb="2">
      <t>ソクホウ</t>
    </rPh>
    <phoneticPr fontId="2"/>
  </si>
  <si>
    <t>側方②</t>
    <rPh sb="0" eb="2">
      <t>ソクホウ</t>
    </rPh>
    <phoneticPr fontId="2"/>
  </si>
  <si>
    <t>正　面</t>
    <rPh sb="0" eb="1">
      <t>タダシ</t>
    </rPh>
    <rPh sb="2" eb="3">
      <t>メン</t>
    </rPh>
    <phoneticPr fontId="2"/>
  </si>
  <si>
    <t>裏　面</t>
    <rPh sb="0" eb="1">
      <t>ウラ</t>
    </rPh>
    <rPh sb="2" eb="3">
      <t>メン</t>
    </rPh>
    <phoneticPr fontId="2"/>
  </si>
  <si>
    <t>容積率の異なる地域にわたる宅地・正面路線判定用
（正面路線価×奥行価格補正×容積率補正率）
（側方・裏面路線価×奥行価格補正）</t>
    <rPh sb="0" eb="2">
      <t>ヨウセキ</t>
    </rPh>
    <rPh sb="2" eb="3">
      <t>リツ</t>
    </rPh>
    <rPh sb="4" eb="5">
      <t>コト</t>
    </rPh>
    <rPh sb="7" eb="9">
      <t>チイキ</t>
    </rPh>
    <rPh sb="13" eb="15">
      <t>タクチ</t>
    </rPh>
    <rPh sb="16" eb="18">
      <t>ショウメン</t>
    </rPh>
    <rPh sb="18" eb="20">
      <t>ロセン</t>
    </rPh>
    <rPh sb="20" eb="23">
      <t>ハンテイヨウ</t>
    </rPh>
    <rPh sb="25" eb="27">
      <t>ショウメン</t>
    </rPh>
    <rPh sb="27" eb="29">
      <t>ロセン</t>
    </rPh>
    <rPh sb="29" eb="30">
      <t>カ</t>
    </rPh>
    <rPh sb="31" eb="33">
      <t>オクユキ</t>
    </rPh>
    <rPh sb="33" eb="35">
      <t>カカク</t>
    </rPh>
    <rPh sb="35" eb="37">
      <t>ホセイ</t>
    </rPh>
    <rPh sb="38" eb="40">
      <t>ヨウセキ</t>
    </rPh>
    <rPh sb="40" eb="41">
      <t>リツ</t>
    </rPh>
    <rPh sb="41" eb="44">
      <t>ホセイリツ</t>
    </rPh>
    <rPh sb="47" eb="49">
      <t>ソクホウ</t>
    </rPh>
    <rPh sb="50" eb="52">
      <t>リメン</t>
    </rPh>
    <rPh sb="52" eb="54">
      <t>ロセン</t>
    </rPh>
    <rPh sb="54" eb="55">
      <t>カ</t>
    </rPh>
    <rPh sb="56" eb="58">
      <t>オクユキ</t>
    </rPh>
    <rPh sb="58" eb="60">
      <t>カカク</t>
    </rPh>
    <rPh sb="60" eb="62">
      <t>ホセイ</t>
    </rPh>
    <phoneticPr fontId="2"/>
  </si>
  <si>
    <t>※容積率の異なる地域にわたる宅地の「控除割合」欄のセルが赤反転した場合は、正面路線価が違うことになります。</t>
    <rPh sb="1" eb="3">
      <t>ヨウセキ</t>
    </rPh>
    <rPh sb="3" eb="4">
      <t>リツ</t>
    </rPh>
    <rPh sb="5" eb="6">
      <t>コト</t>
    </rPh>
    <rPh sb="8" eb="10">
      <t>チイキ</t>
    </rPh>
    <rPh sb="14" eb="16">
      <t>タクチ</t>
    </rPh>
    <rPh sb="18" eb="20">
      <t>コウジョ</t>
    </rPh>
    <rPh sb="20" eb="22">
      <t>ワリアイ</t>
    </rPh>
    <rPh sb="23" eb="24">
      <t>ラン</t>
    </rPh>
    <rPh sb="28" eb="29">
      <t>アカ</t>
    </rPh>
    <rPh sb="29" eb="31">
      <t>ハンテン</t>
    </rPh>
    <rPh sb="33" eb="35">
      <t>バアイ</t>
    </rPh>
    <rPh sb="37" eb="39">
      <t>ショウメン</t>
    </rPh>
    <rPh sb="39" eb="41">
      <t>ロセン</t>
    </rPh>
    <rPh sb="41" eb="42">
      <t>カ</t>
    </rPh>
    <rPh sb="43" eb="44">
      <t>チガ</t>
    </rPh>
    <phoneticPr fontId="2"/>
  </si>
  <si>
    <t>　その場合は、入力シートの正面路線を入れ替えてください。</t>
    <rPh sb="3" eb="5">
      <t>バアイ</t>
    </rPh>
    <rPh sb="7" eb="9">
      <t>ニュウリョク</t>
    </rPh>
    <rPh sb="13" eb="15">
      <t>ショウメン</t>
    </rPh>
    <rPh sb="15" eb="17">
      <t>ロセン</t>
    </rPh>
    <rPh sb="18" eb="19">
      <t>イ</t>
    </rPh>
    <rPh sb="20" eb="21">
      <t>カ</t>
    </rPh>
    <phoneticPr fontId="2"/>
  </si>
  <si>
    <t>（奥行価格補正後の正面路線価からこの控除割合を控除した後の価額が、奥行価格補正後の側方又は裏面路線価の価額を下回る場合には、</t>
    <rPh sb="1" eb="5">
      <t>オクユキカカク</t>
    </rPh>
    <rPh sb="5" eb="7">
      <t>ホセイ</t>
    </rPh>
    <rPh sb="7" eb="8">
      <t>ゴ</t>
    </rPh>
    <rPh sb="9" eb="11">
      <t>ショウメン</t>
    </rPh>
    <rPh sb="11" eb="13">
      <t>ロセン</t>
    </rPh>
    <rPh sb="13" eb="14">
      <t>カ</t>
    </rPh>
    <rPh sb="18" eb="20">
      <t>コウジョ</t>
    </rPh>
    <rPh sb="20" eb="22">
      <t>ワリアイ</t>
    </rPh>
    <rPh sb="23" eb="25">
      <t>コウジョ</t>
    </rPh>
    <rPh sb="27" eb="28">
      <t>ゴ</t>
    </rPh>
    <rPh sb="29" eb="31">
      <t>カガク</t>
    </rPh>
    <rPh sb="33" eb="37">
      <t>オクユキカカク</t>
    </rPh>
    <rPh sb="37" eb="39">
      <t>ホセイ</t>
    </rPh>
    <rPh sb="39" eb="40">
      <t>ゴ</t>
    </rPh>
    <rPh sb="41" eb="43">
      <t>ソクホウ</t>
    </rPh>
    <rPh sb="43" eb="44">
      <t>マタ</t>
    </rPh>
    <rPh sb="45" eb="47">
      <t>リメン</t>
    </rPh>
    <rPh sb="47" eb="49">
      <t>ロセン</t>
    </rPh>
    <rPh sb="49" eb="50">
      <t>カ</t>
    </rPh>
    <rPh sb="51" eb="53">
      <t>カガク</t>
    </rPh>
    <rPh sb="54" eb="56">
      <t>シタマワ</t>
    </rPh>
    <rPh sb="57" eb="59">
      <t>バアイ</t>
    </rPh>
    <phoneticPr fontId="2"/>
  </si>
  <si>
    <t>　それらのうち最も高い価額の路線を正面路線価とみなして計算することになっています。）</t>
    <rPh sb="7" eb="8">
      <t>モット</t>
    </rPh>
    <rPh sb="9" eb="10">
      <t>タカ</t>
    </rPh>
    <rPh sb="11" eb="13">
      <t>カガク</t>
    </rPh>
    <rPh sb="14" eb="16">
      <t>ロセン</t>
    </rPh>
    <rPh sb="17" eb="19">
      <t>ショウメン</t>
    </rPh>
    <rPh sb="19" eb="21">
      <t>ロセン</t>
    </rPh>
    <rPh sb="21" eb="22">
      <t>カ</t>
    </rPh>
    <rPh sb="27" eb="29">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</si>
</sst>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0"/>
    <numFmt numFmtId="177" formatCode="&quot;(&quot;0.00&quot;)&quot;"/>
    <numFmt numFmtId="178" formatCode="0_ "/>
    <numFmt numFmtId="179" formatCode="0.000"/>
    <numFmt numFmtId="180" formatCode="#,##0.0;[Red]\-#,##0.0"/>
    <numFmt numFmtId="181" formatCode="#,##0.00_ "/>
    <numFmt numFmtId="182" formatCode="#,##0.00000000000;[Red]\-#,##0.00000000000"/>
    <numFmt numFmtId="183" formatCode="0.00000000000"/>
    <numFmt numFmtId="184" formatCode="0.00_ &quot;/&quot;"/>
    <numFmt numFmtId="185" formatCode="#,##0.000;[Red]\-#,##0.000"/>
    <numFmt numFmtId="186" formatCode="&quot;(側方からの奥行&quot;0.00&quot;)&quot;"/>
    <numFmt numFmtId="187" formatCode="&quot;(裏面からの奥行&quot;0.00&quot;)&quot;"/>
    <numFmt numFmtId="188" formatCode="0.0%"/>
    <numFmt numFmtId="189" formatCode="#,##0.000000&quot; ㎡&quot;"/>
  </numFmts>
  <fonts count="89">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12"/>
      <name val="ＭＳ Ｐ明朝"/>
      <family val="1"/>
      <charset val="128"/>
    </font>
    <font>
      <sz val="9"/>
      <name val="ＭＳ Ｐ明朝"/>
      <family val="1"/>
      <charset val="128"/>
    </font>
    <font>
      <sz val="8"/>
      <name val="ＭＳ Ｐ明朝"/>
      <family val="1"/>
      <charset val="128"/>
    </font>
    <font>
      <sz val="7"/>
      <name val="ＭＳ Ｐ明朝"/>
      <family val="1"/>
      <charset val="128"/>
    </font>
    <font>
      <sz val="10"/>
      <name val="ＭＳ Ｐ明朝"/>
      <family val="1"/>
      <charset val="128"/>
    </font>
    <font>
      <sz val="18"/>
      <name val="ＭＳ Ｐ明朝"/>
      <family val="1"/>
      <charset val="128"/>
    </font>
    <font>
      <sz val="6"/>
      <name val="ＭＳ Ｐ明朝"/>
      <family val="1"/>
      <charset val="128"/>
    </font>
    <font>
      <sz val="26"/>
      <name val="ＭＳ Ｐ明朝"/>
      <family val="1"/>
      <charset val="128"/>
    </font>
    <font>
      <sz val="28"/>
      <name val="ＭＳ Ｐ明朝"/>
      <family val="1"/>
      <charset val="128"/>
    </font>
    <font>
      <sz val="11"/>
      <name val="ＭＳ Ｐ明朝"/>
      <family val="1"/>
      <charset val="128"/>
    </font>
    <font>
      <b/>
      <sz val="9"/>
      <name val="ＭＳ Ｐ明朝"/>
      <family val="1"/>
      <charset val="128"/>
    </font>
    <font>
      <b/>
      <sz val="8"/>
      <name val="ＭＳ Ｐ明朝"/>
      <family val="1"/>
      <charset val="128"/>
    </font>
    <font>
      <b/>
      <sz val="6"/>
      <name val="ＭＳ Ｐ明朝"/>
      <family val="1"/>
      <charset val="128"/>
    </font>
    <font>
      <b/>
      <sz val="9"/>
      <name val="ＭＳ ゴシック"/>
      <family val="3"/>
      <charset val="128"/>
    </font>
    <font>
      <sz val="9"/>
      <name val="ＭＳ ゴシック"/>
      <family val="3"/>
      <charset val="128"/>
    </font>
    <font>
      <b/>
      <sz val="8"/>
      <name val="ＭＳ ゴシック"/>
      <family val="3"/>
      <charset val="128"/>
    </font>
    <font>
      <b/>
      <sz val="6"/>
      <name val="ＭＳ ゴシック"/>
      <family val="3"/>
      <charset val="128"/>
    </font>
    <font>
      <sz val="16"/>
      <name val="ＭＳ Ｐゴシック"/>
      <family val="3"/>
      <charset val="128"/>
    </font>
    <font>
      <sz val="8"/>
      <name val="ＭＳ ゴシック"/>
      <family val="3"/>
      <charset val="128"/>
    </font>
    <font>
      <sz val="8"/>
      <name val="ＭＳ Ｐゴシック"/>
      <family val="3"/>
      <charset val="128"/>
    </font>
    <font>
      <b/>
      <sz val="12"/>
      <name val="ＭＳ Ｐゴシック"/>
      <family val="3"/>
      <charset val="128"/>
    </font>
    <font>
      <b/>
      <sz val="10"/>
      <name val="ＭＳ ゴシック"/>
      <family val="3"/>
      <charset val="128"/>
    </font>
    <font>
      <b/>
      <sz val="11"/>
      <name val="ＭＳ ゴシック"/>
      <family val="3"/>
      <charset val="128"/>
    </font>
    <font>
      <sz val="8.5"/>
      <name val="ＭＳ Ｐ明朝"/>
      <family val="1"/>
      <charset val="128"/>
    </font>
    <font>
      <sz val="7.5"/>
      <name val="ＭＳ Ｐ明朝"/>
      <family val="1"/>
      <charset val="128"/>
    </font>
    <font>
      <sz val="6.5"/>
      <name val="ＭＳ Ｐ明朝"/>
      <family val="1"/>
      <charset val="128"/>
    </font>
    <font>
      <sz val="14"/>
      <name val="ＭＳ 明朝"/>
      <family val="1"/>
      <charset val="128"/>
    </font>
    <font>
      <sz val="7"/>
      <name val="ＭＳ 明朝"/>
      <family val="1"/>
      <charset val="128"/>
    </font>
    <font>
      <sz val="9"/>
      <name val="ＭＳ Ｐゴシック"/>
      <family val="3"/>
      <charset val="128"/>
    </font>
    <font>
      <b/>
      <sz val="12"/>
      <color rgb="FF000000"/>
      <name val="ＭＳ ゴシック"/>
      <family val="3"/>
      <charset val="128"/>
    </font>
    <font>
      <sz val="8"/>
      <color rgb="FF000000"/>
      <name val="ＭＳ ゴシック"/>
      <family val="3"/>
      <charset val="128"/>
    </font>
    <font>
      <b/>
      <sz val="9"/>
      <color rgb="FF000000"/>
      <name val="ＭＳ ゴシック"/>
      <family val="3"/>
      <charset val="128"/>
    </font>
    <font>
      <b/>
      <sz val="9"/>
      <color rgb="FF68656B"/>
      <name val="ＭＳ ゴシック"/>
      <family val="3"/>
      <charset val="128"/>
    </font>
    <font>
      <b/>
      <sz val="10"/>
      <color rgb="FF000000"/>
      <name val="ＭＳ ゴシック"/>
      <family val="3"/>
      <charset val="128"/>
    </font>
    <font>
      <b/>
      <sz val="11"/>
      <color rgb="FF000000"/>
      <name val="ＭＳ ゴシック"/>
      <family val="3"/>
      <charset val="128"/>
    </font>
    <font>
      <sz val="6"/>
      <color rgb="FF000000"/>
      <name val="ＭＳ ゴシック"/>
      <family val="3"/>
      <charset val="128"/>
    </font>
    <font>
      <sz val="35"/>
      <color rgb="FF000000"/>
      <name val="ＭＳ ゴシック"/>
      <family val="3"/>
      <charset val="128"/>
    </font>
    <font>
      <sz val="16"/>
      <color rgb="FF000000"/>
      <name val="ＭＳ ゴシック"/>
      <family val="3"/>
      <charset val="128"/>
    </font>
    <font>
      <sz val="14"/>
      <color rgb="FF000000"/>
      <name val="ＭＳ ゴシック"/>
      <family val="3"/>
      <charset val="128"/>
    </font>
    <font>
      <sz val="33"/>
      <color rgb="FF000000"/>
      <name val="ＭＳ ゴシック"/>
      <family val="3"/>
      <charset val="128"/>
    </font>
    <font>
      <b/>
      <sz val="8"/>
      <name val="ＭＳ 明朝"/>
      <family val="1"/>
      <charset val="128"/>
    </font>
    <font>
      <sz val="10"/>
      <name val="ＭＳ Ｐゴシック"/>
      <family val="3"/>
      <charset val="128"/>
    </font>
    <font>
      <b/>
      <sz val="8"/>
      <name val="ＭＳ Ｐゴシック"/>
      <family val="3"/>
      <charset val="128"/>
    </font>
    <font>
      <sz val="6"/>
      <name val="ＭＳ 明朝"/>
      <family val="1"/>
      <charset val="128"/>
    </font>
    <font>
      <sz val="4.5"/>
      <name val="ＭＳ ゴシック"/>
      <family val="3"/>
      <charset val="128"/>
    </font>
    <font>
      <sz val="9"/>
      <color rgb="FFFF0000"/>
      <name val="ＭＳ 明朝"/>
      <family val="1"/>
      <charset val="128"/>
    </font>
    <font>
      <b/>
      <sz val="7"/>
      <name val="ＭＳ ゴシック"/>
      <family val="3"/>
      <charset val="128"/>
    </font>
    <font>
      <b/>
      <sz val="8"/>
      <color indexed="81"/>
      <name val="ＭＳ Ｐゴシック"/>
      <family val="3"/>
      <charset val="128"/>
    </font>
    <font>
      <sz val="7.5"/>
      <name val="ＭＳ 明朝"/>
      <family val="1"/>
      <charset val="128"/>
    </font>
    <font>
      <b/>
      <sz val="7.5"/>
      <name val="ＭＳ ゴシック"/>
      <family val="3"/>
      <charset val="128"/>
    </font>
    <font>
      <sz val="6.5"/>
      <name val="ＭＳ 明朝"/>
      <family val="1"/>
      <charset val="128"/>
    </font>
    <font>
      <sz val="4"/>
      <name val="ＭＳ 明朝"/>
      <family val="1"/>
      <charset val="128"/>
    </font>
    <font>
      <b/>
      <sz val="7"/>
      <color indexed="81"/>
      <name val="ＭＳ Ｐゴシック"/>
      <family val="3"/>
      <charset val="128"/>
    </font>
    <font>
      <b/>
      <sz val="5.5"/>
      <name val="ＭＳ ゴシック"/>
      <family val="3"/>
      <charset val="128"/>
    </font>
    <font>
      <b/>
      <sz val="12"/>
      <name val="ＭＳ Ｐ明朝"/>
      <family val="1"/>
      <charset val="128"/>
    </font>
    <font>
      <u/>
      <sz val="11"/>
      <color theme="10"/>
      <name val="ＭＳ Ｐゴシック"/>
      <family val="3"/>
      <charset val="128"/>
    </font>
    <font>
      <u/>
      <sz val="11"/>
      <name val="ＭＳ Ｐゴシック"/>
      <family val="3"/>
      <charset val="128"/>
    </font>
    <font>
      <b/>
      <sz val="11"/>
      <color rgb="FFFF0000"/>
      <name val="ＭＳ Ｐゴシック"/>
      <family val="3"/>
      <charset val="128"/>
    </font>
    <font>
      <b/>
      <sz val="11"/>
      <color rgb="FF0000FF"/>
      <name val="ＭＳ Ｐゴシック"/>
      <family val="3"/>
      <charset val="128"/>
    </font>
    <font>
      <sz val="11"/>
      <color rgb="FFFF0000"/>
      <name val="ＭＳ Ｐゴシック"/>
      <family val="3"/>
      <charset val="128"/>
    </font>
    <font>
      <sz val="11"/>
      <color rgb="FF0000FF"/>
      <name val="ＭＳ Ｐゴシック"/>
      <family val="3"/>
      <charset val="128"/>
    </font>
    <font>
      <sz val="10"/>
      <color rgb="FF0000FF"/>
      <name val="ＭＳ Ｐゴシック"/>
      <family val="3"/>
      <charset val="128"/>
    </font>
    <font>
      <b/>
      <sz val="7"/>
      <name val="ＭＳ Ｐゴシック"/>
      <family val="3"/>
      <charset val="128"/>
    </font>
    <font>
      <sz val="22"/>
      <name val="ＭＳ Ｐゴシック"/>
      <family val="3"/>
      <charset val="128"/>
    </font>
    <font>
      <b/>
      <sz val="8"/>
      <color indexed="81"/>
      <name val="ＭＳ Ｐ明朝"/>
      <family val="1"/>
      <charset val="128"/>
    </font>
    <font>
      <b/>
      <u/>
      <sz val="11"/>
      <color rgb="FF0000FF"/>
      <name val="ＭＳ Ｐゴシック"/>
      <family val="3"/>
      <charset val="128"/>
    </font>
    <font>
      <b/>
      <sz val="11"/>
      <name val="ＭＳ Ｐゴシック"/>
      <family val="3"/>
      <charset val="128"/>
    </font>
    <font>
      <b/>
      <sz val="9"/>
      <name val="ＭＳ Ｐゴシック"/>
      <family val="3"/>
      <charset val="128"/>
    </font>
    <font>
      <sz val="7.5"/>
      <name val="ＭＳ ゴシック"/>
      <family val="3"/>
      <charset val="128"/>
    </font>
    <font>
      <b/>
      <sz val="4"/>
      <name val="ＭＳ Ｐ明朝"/>
      <family val="1"/>
      <charset val="128"/>
    </font>
    <font>
      <sz val="9"/>
      <name val="ＭＳ 明朝"/>
      <family val="1"/>
      <charset val="128"/>
    </font>
    <font>
      <b/>
      <sz val="9"/>
      <name val="ＭＳ 明朝"/>
      <family val="1"/>
      <charset val="128"/>
    </font>
    <font>
      <sz val="7.55"/>
      <name val="ＭＳ Ｐ明朝"/>
      <family val="1"/>
      <charset val="128"/>
    </font>
    <font>
      <sz val="7"/>
      <name val="ＭＳ Ｐゴシック"/>
      <family val="3"/>
      <charset val="128"/>
    </font>
    <font>
      <sz val="8.5"/>
      <name val="ＭＳ 明朝"/>
      <family val="1"/>
      <charset val="128"/>
    </font>
    <font>
      <sz val="7"/>
      <color indexed="81"/>
      <name val="ＭＳ Ｐゴシック"/>
      <family val="3"/>
      <charset val="128"/>
    </font>
    <font>
      <b/>
      <sz val="7"/>
      <color indexed="10"/>
      <name val="ＭＳ Ｐゴシック"/>
      <family val="3"/>
      <charset val="128"/>
    </font>
    <font>
      <sz val="5"/>
      <name val="ＭＳ 明朝"/>
      <family val="1"/>
      <charset val="128"/>
    </font>
    <font>
      <sz val="7"/>
      <name val="ＭＳ ゴシック"/>
      <family val="3"/>
      <charset val="128"/>
    </font>
    <font>
      <sz val="10"/>
      <color rgb="FFFF0000"/>
      <name val="ＭＳ Ｐゴシック"/>
      <family val="3"/>
      <charset val="128"/>
    </font>
    <font>
      <u/>
      <sz val="9"/>
      <color theme="10"/>
      <name val="ＭＳ Ｐゴシック"/>
      <family val="3"/>
      <charset val="128"/>
    </font>
    <font>
      <b/>
      <u/>
      <sz val="8"/>
      <color indexed="81"/>
      <name val="ＭＳ Ｐゴシック"/>
      <family val="3"/>
      <charset val="128"/>
    </font>
    <font>
      <b/>
      <sz val="6.5"/>
      <color indexed="81"/>
      <name val="ＭＳ Ｐゴシック"/>
      <family val="3"/>
      <charset val="128"/>
    </font>
    <font>
      <sz val="6"/>
      <name val="ＭＳ ゴシック"/>
      <family val="3"/>
      <charset val="128"/>
    </font>
    <font>
      <sz val="6"/>
      <color indexed="81"/>
      <name val="ＭＳ Ｐゴシック"/>
      <family val="3"/>
      <charset val="128"/>
    </font>
  </fonts>
  <fills count="11">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rgb="FFCCFFFF"/>
        <bgColor indexed="64"/>
      </patternFill>
    </fill>
    <fill>
      <patternFill patternType="solid">
        <fgColor rgb="FFCCECFF"/>
        <bgColor indexed="64"/>
      </patternFill>
    </fill>
    <fill>
      <patternFill patternType="solid">
        <fgColor rgb="FFFFFF00"/>
        <bgColor indexed="64"/>
      </patternFill>
    </fill>
    <fill>
      <patternFill patternType="solid">
        <fgColor rgb="FF46ED03"/>
        <bgColor indexed="64"/>
      </patternFill>
    </fill>
    <fill>
      <patternFill patternType="solid">
        <fgColor theme="0" tint="-0.249977111117893"/>
        <bgColor indexed="64"/>
      </patternFill>
    </fill>
    <fill>
      <patternFill patternType="solid">
        <fgColor rgb="FF00FFFF"/>
        <bgColor indexed="64"/>
      </patternFill>
    </fill>
    <fill>
      <patternFill patternType="solid">
        <fgColor theme="0" tint="-4.9989318521683403E-2"/>
        <bgColor indexed="64"/>
      </patternFill>
    </fill>
  </fills>
  <borders count="76">
    <border>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top/>
      <bottom style="hair">
        <color indexed="64"/>
      </bottom>
      <diagonal/>
    </border>
    <border>
      <left/>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diagonalDown="1">
      <left style="medium">
        <color indexed="64"/>
      </left>
      <right style="thin">
        <color indexed="64"/>
      </right>
      <top style="medium">
        <color indexed="64"/>
      </top>
      <bottom style="double">
        <color indexed="64"/>
      </bottom>
      <diagonal style="hair">
        <color indexed="64"/>
      </diagonal>
    </border>
    <border diagonalDown="1">
      <left style="thin">
        <color indexed="64"/>
      </left>
      <right style="thin">
        <color indexed="64"/>
      </right>
      <top style="medium">
        <color indexed="64"/>
      </top>
      <bottom style="double">
        <color indexed="64"/>
      </bottom>
      <diagonal style="hair">
        <color indexed="64"/>
      </diagonal>
    </border>
    <border>
      <left/>
      <right style="medium">
        <color indexed="64"/>
      </right>
      <top style="medium">
        <color indexed="64"/>
      </top>
      <bottom style="medium">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thin">
        <color indexed="64"/>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hair">
        <color indexed="64"/>
      </left>
      <right/>
      <top style="thin">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double">
        <color indexed="64"/>
      </top>
      <bottom style="thin">
        <color indexed="64"/>
      </bottom>
      <diagonal style="hair">
        <color indexed="64"/>
      </diagonal>
    </border>
    <border diagonalUp="1">
      <left/>
      <right style="thin">
        <color indexed="64"/>
      </right>
      <top style="double">
        <color indexed="64"/>
      </top>
      <bottom style="thin">
        <color indexed="64"/>
      </bottom>
      <diagonal style="hair">
        <color indexed="64"/>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4">
    <xf numFmtId="0" fontId="0" fillId="0" borderId="0"/>
    <xf numFmtId="38" fontId="1" fillId="0" borderId="0" applyFont="0" applyFill="0" applyBorder="0" applyAlignment="0" applyProtection="0"/>
    <xf numFmtId="9" fontId="1" fillId="0" borderId="0" applyFont="0" applyFill="0" applyBorder="0" applyAlignment="0" applyProtection="0">
      <alignment vertical="center"/>
    </xf>
    <xf numFmtId="0" fontId="59" fillId="0" borderId="0" applyNumberFormat="0" applyFill="0" applyBorder="0" applyAlignment="0" applyProtection="0"/>
  </cellStyleXfs>
  <cellXfs count="743">
    <xf numFmtId="0" fontId="0" fillId="0" borderId="0" xfId="0"/>
    <xf numFmtId="0" fontId="3" fillId="0" borderId="0" xfId="0" applyFont="1" applyAlignment="1">
      <alignment vertical="center"/>
    </xf>
    <xf numFmtId="0" fontId="3" fillId="0" borderId="0" xfId="0" applyFont="1"/>
    <xf numFmtId="0" fontId="3" fillId="0" borderId="0" xfId="0" applyFont="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3" fillId="0" borderId="0" xfId="0" applyFont="1" applyBorder="1" applyAlignment="1">
      <alignment vertical="center"/>
    </xf>
    <xf numFmtId="0" fontId="6" fillId="0" borderId="0" xfId="0" applyFont="1" applyAlignment="1">
      <alignment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 xfId="0" applyFont="1" applyBorder="1" applyAlignment="1" applyProtection="1">
      <alignment horizontal="left" vertical="center"/>
    </xf>
    <xf numFmtId="0" fontId="6" fillId="0" borderId="0" xfId="0" applyFont="1" applyBorder="1" applyAlignment="1" applyProtection="1">
      <alignment vertical="center"/>
    </xf>
    <xf numFmtId="0" fontId="6" fillId="0" borderId="4" xfId="0" applyFont="1" applyBorder="1" applyAlignment="1" applyProtection="1">
      <alignment vertical="center"/>
    </xf>
    <xf numFmtId="0" fontId="7" fillId="0" borderId="2" xfId="0" applyFont="1" applyBorder="1" applyAlignment="1" applyProtection="1">
      <alignment horizontal="center" vertical="center"/>
    </xf>
    <xf numFmtId="0" fontId="6" fillId="0" borderId="0" xfId="0" applyFont="1" applyBorder="1" applyProtection="1"/>
    <xf numFmtId="0" fontId="7" fillId="0" borderId="2" xfId="0" applyFont="1" applyBorder="1" applyAlignment="1" applyProtection="1">
      <alignment horizontal="left" vertical="center"/>
    </xf>
    <xf numFmtId="0" fontId="6" fillId="0" borderId="4" xfId="0" applyFont="1" applyBorder="1" applyAlignment="1" applyProtection="1">
      <alignment horizontal="left" vertical="center"/>
    </xf>
    <xf numFmtId="0" fontId="5" fillId="0" borderId="0" xfId="0" applyFont="1" applyBorder="1" applyAlignment="1" applyProtection="1">
      <alignment horizontal="center" vertical="center"/>
    </xf>
    <xf numFmtId="0" fontId="7" fillId="0" borderId="0" xfId="0" applyFont="1" applyBorder="1" applyProtection="1"/>
    <xf numFmtId="0" fontId="6" fillId="0" borderId="0" xfId="0" applyFont="1" applyAlignment="1" applyProtection="1">
      <alignment vertical="center"/>
    </xf>
    <xf numFmtId="56" fontId="5" fillId="0" borderId="0" xfId="0" quotePrefix="1" applyNumberFormat="1" applyFont="1" applyBorder="1" applyAlignment="1" applyProtection="1">
      <alignment horizontal="center" vertical="center" shrinkToFit="1"/>
    </xf>
    <xf numFmtId="0" fontId="6" fillId="0" borderId="0" xfId="0" applyFont="1" applyBorder="1" applyAlignment="1" applyProtection="1">
      <alignment horizontal="left" vertical="center"/>
    </xf>
    <xf numFmtId="0" fontId="5" fillId="0" borderId="0" xfId="0" quotePrefix="1" applyFont="1" applyBorder="1" applyAlignment="1" applyProtection="1">
      <alignment horizontal="center" vertical="center" shrinkToFit="1"/>
    </xf>
    <xf numFmtId="0" fontId="5" fillId="0" borderId="0" xfId="0" applyFont="1" applyBorder="1" applyAlignment="1" applyProtection="1">
      <alignment horizontal="left" vertical="center"/>
    </xf>
    <xf numFmtId="0" fontId="5" fillId="0" borderId="2" xfId="0" applyFont="1" applyBorder="1" applyAlignment="1" applyProtection="1">
      <alignment horizontal="left" vertical="center"/>
    </xf>
    <xf numFmtId="0" fontId="7" fillId="0" borderId="0" xfId="0" applyFont="1" applyBorder="1" applyAlignment="1" applyProtection="1">
      <alignment vertical="center"/>
    </xf>
    <xf numFmtId="0" fontId="13" fillId="0" borderId="0" xfId="0" applyFont="1" applyAlignment="1" applyProtection="1">
      <alignment vertical="center"/>
    </xf>
    <xf numFmtId="0" fontId="13" fillId="0" borderId="0" xfId="0" applyFont="1" applyProtection="1"/>
    <xf numFmtId="0" fontId="13" fillId="0" borderId="0" xfId="0" applyFont="1" applyAlignment="1" applyProtection="1">
      <alignment horizontal="left" vertical="center"/>
    </xf>
    <xf numFmtId="0" fontId="13" fillId="0" borderId="0" xfId="0" applyFont="1" applyAlignment="1">
      <alignment horizontal="left" vertical="center"/>
    </xf>
    <xf numFmtId="0" fontId="6" fillId="0" borderId="0" xfId="0" applyFont="1" applyAlignment="1" applyProtection="1">
      <alignment horizontal="left" vertical="center"/>
    </xf>
    <xf numFmtId="0" fontId="7" fillId="0" borderId="0" xfId="0" applyFont="1" applyBorder="1" applyAlignment="1" applyProtection="1">
      <alignment horizontal="left" vertical="center"/>
    </xf>
    <xf numFmtId="0" fontId="8" fillId="0" borderId="0" xfId="0" applyFont="1" applyAlignment="1">
      <alignment horizontal="left" vertical="center"/>
    </xf>
    <xf numFmtId="0" fontId="8" fillId="0" borderId="0" xfId="0" applyFont="1" applyBorder="1" applyAlignment="1" applyProtection="1">
      <alignment horizontal="left" vertical="center"/>
    </xf>
    <xf numFmtId="0" fontId="6" fillId="0" borderId="2" xfId="0" applyFont="1" applyBorder="1" applyAlignment="1" applyProtection="1">
      <alignment horizontal="left" vertical="center"/>
    </xf>
    <xf numFmtId="0" fontId="8" fillId="0" borderId="2" xfId="0" applyFont="1" applyBorder="1" applyAlignment="1" applyProtection="1">
      <alignment horizontal="left" vertical="center"/>
    </xf>
    <xf numFmtId="0" fontId="8" fillId="0" borderId="3" xfId="0" applyFont="1" applyBorder="1" applyAlignment="1" applyProtection="1">
      <alignment horizontal="left" vertical="center"/>
    </xf>
    <xf numFmtId="0" fontId="6" fillId="0" borderId="3" xfId="0" applyFont="1" applyBorder="1" applyAlignment="1" applyProtection="1">
      <alignment horizontal="left" vertical="center"/>
    </xf>
    <xf numFmtId="0" fontId="8" fillId="0" borderId="1" xfId="0" applyFont="1" applyBorder="1" applyAlignment="1" applyProtection="1">
      <alignment horizontal="left" vertical="center"/>
    </xf>
    <xf numFmtId="0" fontId="6" fillId="0" borderId="0" xfId="0" applyFont="1" applyBorder="1" applyAlignment="1" applyProtection="1">
      <alignment horizontal="left" vertical="center" textRotation="255"/>
    </xf>
    <xf numFmtId="0" fontId="5" fillId="0" borderId="0" xfId="0" applyFont="1" applyBorder="1" applyAlignment="1" applyProtection="1">
      <alignment horizontal="left" vertical="center" textRotation="255"/>
    </xf>
    <xf numFmtId="38" fontId="8" fillId="0" borderId="0" xfId="1" applyFont="1" applyBorder="1" applyAlignment="1" applyProtection="1">
      <alignment horizontal="left" vertical="center"/>
    </xf>
    <xf numFmtId="0" fontId="7" fillId="0" borderId="5" xfId="0" applyFont="1" applyBorder="1" applyAlignment="1" applyProtection="1">
      <alignment horizontal="center" vertical="center" textRotation="255" shrinkToFit="1"/>
    </xf>
    <xf numFmtId="0" fontId="6" fillId="0" borderId="6" xfId="0" applyFont="1" applyBorder="1" applyAlignment="1" applyProtection="1">
      <alignment horizontal="left" vertical="center"/>
    </xf>
    <xf numFmtId="0" fontId="7" fillId="0" borderId="7" xfId="0" applyFont="1" applyBorder="1" applyAlignment="1" applyProtection="1">
      <alignment horizontal="center" vertical="center" textRotation="255" shrinkToFit="1"/>
    </xf>
    <xf numFmtId="0" fontId="5" fillId="0" borderId="1" xfId="0" applyFont="1" applyBorder="1" applyAlignment="1" applyProtection="1">
      <alignment horizontal="left" vertical="center"/>
    </xf>
    <xf numFmtId="0" fontId="5" fillId="0" borderId="3" xfId="0" applyFont="1" applyBorder="1" applyAlignment="1" applyProtection="1">
      <alignment horizontal="left" vertical="center"/>
    </xf>
    <xf numFmtId="0" fontId="8" fillId="0" borderId="0" xfId="0" applyFont="1" applyAlignment="1" applyProtection="1">
      <alignment horizontal="left" vertical="center"/>
    </xf>
    <xf numFmtId="0" fontId="5" fillId="0" borderId="4" xfId="0" applyFont="1" applyBorder="1" applyAlignment="1" applyProtection="1">
      <alignment horizontal="left" vertical="center"/>
    </xf>
    <xf numFmtId="0" fontId="5" fillId="0" borderId="6"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2" xfId="0" applyFont="1" applyBorder="1" applyAlignment="1" applyProtection="1">
      <alignment horizontal="left" vertical="center"/>
    </xf>
    <xf numFmtId="0" fontId="6" fillId="0" borderId="7" xfId="0" applyFont="1" applyBorder="1" applyAlignment="1" applyProtection="1">
      <alignment horizontal="right" vertical="center"/>
    </xf>
    <xf numFmtId="0" fontId="6" fillId="0" borderId="0" xfId="0" applyFont="1" applyAlignment="1">
      <alignment horizontal="left" vertical="center"/>
    </xf>
    <xf numFmtId="0" fontId="6" fillId="0" borderId="7" xfId="0" applyFont="1" applyBorder="1" applyAlignment="1" applyProtection="1">
      <alignment horizontal="right" vertical="center" shrinkToFit="1"/>
    </xf>
    <xf numFmtId="0" fontId="6" fillId="0" borderId="0" xfId="0" applyFont="1" applyBorder="1" applyAlignment="1" applyProtection="1">
      <alignment horizontal="right" vertical="center"/>
    </xf>
    <xf numFmtId="0" fontId="6" fillId="0" borderId="0" xfId="0" applyFont="1" applyFill="1" applyBorder="1" applyProtection="1"/>
    <xf numFmtId="0" fontId="14" fillId="0" borderId="0" xfId="0" applyNumberFormat="1" applyFont="1" applyFill="1" applyBorder="1" applyAlignment="1" applyProtection="1">
      <alignment horizontal="right" vertical="center" shrinkToFit="1"/>
      <protection locked="0"/>
    </xf>
    <xf numFmtId="0" fontId="6"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19" fillId="0" borderId="0" xfId="0" quotePrefix="1" applyFont="1" applyFill="1" applyBorder="1" applyAlignment="1" applyProtection="1">
      <alignment horizontal="right" vertical="center"/>
    </xf>
    <xf numFmtId="0" fontId="12" fillId="0" borderId="0" xfId="0" applyFont="1" applyFill="1" applyBorder="1" applyAlignment="1" applyProtection="1">
      <alignment horizontal="center" vertical="center"/>
    </xf>
    <xf numFmtId="49" fontId="17" fillId="0" borderId="0" xfId="1" applyNumberFormat="1" applyFont="1" applyFill="1" applyBorder="1" applyAlignment="1" applyProtection="1">
      <alignment vertical="center" shrinkToFit="1"/>
    </xf>
    <xf numFmtId="49" fontId="6" fillId="0" borderId="0" xfId="0" applyNumberFormat="1" applyFont="1" applyBorder="1" applyAlignment="1" applyProtection="1">
      <alignment vertical="center" shrinkToFit="1"/>
    </xf>
    <xf numFmtId="0" fontId="0" fillId="0" borderId="0" xfId="0" applyProtection="1"/>
    <xf numFmtId="0" fontId="22" fillId="0" borderId="8" xfId="0" applyFont="1" applyBorder="1" applyAlignment="1" applyProtection="1">
      <alignment horizontal="center" vertical="center" wrapText="1"/>
    </xf>
    <xf numFmtId="178" fontId="33" fillId="0" borderId="9" xfId="0" applyNumberFormat="1" applyFont="1" applyBorder="1" applyAlignment="1" applyProtection="1">
      <alignment horizontal="center" vertical="center" wrapText="1"/>
    </xf>
    <xf numFmtId="0" fontId="34" fillId="0" borderId="10" xfId="0" applyFont="1" applyBorder="1" applyAlignment="1" applyProtection="1">
      <alignment horizontal="center" vertical="center" wrapText="1"/>
    </xf>
    <xf numFmtId="2" fontId="35" fillId="0" borderId="8" xfId="0" applyNumberFormat="1" applyFont="1" applyBorder="1" applyAlignment="1" applyProtection="1">
      <alignment horizontal="center" vertical="center" wrapText="1"/>
    </xf>
    <xf numFmtId="2" fontId="36" fillId="0" borderId="8" xfId="0" applyNumberFormat="1" applyFont="1" applyBorder="1" applyAlignment="1" applyProtection="1">
      <alignment horizontal="center" vertical="center" wrapText="1"/>
    </xf>
    <xf numFmtId="0" fontId="34" fillId="0" borderId="9" xfId="0" applyFont="1" applyBorder="1" applyAlignment="1" applyProtection="1">
      <alignment horizontal="center" vertical="center" wrapText="1"/>
    </xf>
    <xf numFmtId="0" fontId="0" fillId="0" borderId="10" xfId="0" applyBorder="1" applyAlignment="1" applyProtection="1">
      <alignment horizontal="center"/>
    </xf>
    <xf numFmtId="2" fontId="17" fillId="0" borderId="8" xfId="0" applyNumberFormat="1" applyFont="1" applyBorder="1" applyAlignment="1" applyProtection="1">
      <alignment horizontal="center" vertical="center"/>
    </xf>
    <xf numFmtId="0" fontId="23" fillId="0" borderId="9" xfId="0" applyFont="1" applyBorder="1" applyAlignment="1" applyProtection="1">
      <alignment horizontal="center" vertical="center"/>
    </xf>
    <xf numFmtId="0" fontId="17" fillId="0" borderId="8" xfId="0" applyFont="1" applyBorder="1" applyAlignment="1" applyProtection="1">
      <alignment horizontal="center" vertical="center"/>
    </xf>
    <xf numFmtId="0" fontId="34" fillId="0" borderId="11" xfId="0" applyFont="1" applyBorder="1" applyAlignment="1" applyProtection="1">
      <alignment horizontal="center" vertical="center" wrapText="1"/>
    </xf>
    <xf numFmtId="0" fontId="35" fillId="0" borderId="8" xfId="0" applyFont="1" applyBorder="1" applyAlignment="1" applyProtection="1">
      <alignment horizontal="center" vertical="center" wrapText="1"/>
    </xf>
    <xf numFmtId="178" fontId="33" fillId="0" borderId="0" xfId="0" applyNumberFormat="1" applyFont="1" applyBorder="1" applyAlignment="1" applyProtection="1">
      <alignment horizontal="center" vertical="center" wrapText="1"/>
    </xf>
    <xf numFmtId="0" fontId="34" fillId="0" borderId="0" xfId="0" applyFont="1" applyBorder="1" applyAlignment="1" applyProtection="1">
      <alignment horizontal="center" vertical="center" wrapText="1"/>
    </xf>
    <xf numFmtId="2" fontId="35" fillId="0" borderId="0" xfId="0" applyNumberFormat="1" applyFont="1" applyBorder="1" applyAlignment="1" applyProtection="1">
      <alignment horizontal="center" vertical="center" wrapText="1"/>
    </xf>
    <xf numFmtId="0" fontId="22" fillId="0" borderId="12" xfId="0" applyFont="1" applyBorder="1" applyAlignment="1" applyProtection="1">
      <alignment horizontal="center" vertical="center" wrapText="1"/>
    </xf>
    <xf numFmtId="2" fontId="35" fillId="0" borderId="9" xfId="0" applyNumberFormat="1" applyFont="1" applyBorder="1" applyAlignment="1" applyProtection="1">
      <alignment horizontal="center" vertical="center" wrapText="1"/>
    </xf>
    <xf numFmtId="2" fontId="37" fillId="0" borderId="8" xfId="0" applyNumberFormat="1" applyFont="1" applyBorder="1" applyAlignment="1" applyProtection="1">
      <alignment horizontal="center" vertical="center" wrapText="1"/>
    </xf>
    <xf numFmtId="0" fontId="37" fillId="0" borderId="8" xfId="0" applyFont="1" applyBorder="1" applyAlignment="1" applyProtection="1">
      <alignment horizontal="center" vertical="center" wrapText="1"/>
    </xf>
    <xf numFmtId="0" fontId="33" fillId="0" borderId="9" xfId="0" applyFont="1" applyBorder="1" applyAlignment="1" applyProtection="1">
      <alignment horizontal="center" vertical="center" wrapText="1"/>
    </xf>
    <xf numFmtId="0" fontId="24" fillId="0" borderId="9" xfId="0" applyFont="1" applyBorder="1" applyAlignment="1" applyProtection="1">
      <alignment horizontal="center"/>
    </xf>
    <xf numFmtId="2" fontId="35" fillId="0" borderId="13" xfId="0" applyNumberFormat="1" applyFont="1" applyBorder="1" applyAlignment="1" applyProtection="1">
      <alignment horizontal="center" vertical="center" wrapText="1"/>
    </xf>
    <xf numFmtId="0" fontId="24" fillId="0" borderId="0" xfId="0" applyFont="1" applyBorder="1" applyAlignment="1" applyProtection="1">
      <alignment horizontal="center"/>
    </xf>
    <xf numFmtId="38" fontId="38" fillId="0" borderId="9" xfId="1" applyFont="1" applyBorder="1" applyAlignment="1" applyProtection="1">
      <alignment horizontal="center" vertical="center" wrapText="1"/>
    </xf>
    <xf numFmtId="38" fontId="26" fillId="0" borderId="9" xfId="1" applyFont="1" applyBorder="1" applyAlignment="1" applyProtection="1">
      <alignment horizontal="center" vertical="center"/>
    </xf>
    <xf numFmtId="2" fontId="35" fillId="0" borderId="14" xfId="0" applyNumberFormat="1" applyFont="1" applyBorder="1" applyAlignment="1" applyProtection="1">
      <alignment horizontal="center" vertical="center" wrapText="1"/>
    </xf>
    <xf numFmtId="0" fontId="26" fillId="0" borderId="8" xfId="0" applyFont="1" applyBorder="1" applyAlignment="1" applyProtection="1">
      <alignment horizontal="center" vertical="center" wrapText="1"/>
    </xf>
    <xf numFmtId="0" fontId="26" fillId="0" borderId="12" xfId="0" applyFont="1" applyBorder="1" applyAlignment="1" applyProtection="1">
      <alignment horizontal="center" vertical="center" wrapText="1"/>
    </xf>
    <xf numFmtId="2" fontId="17" fillId="0" borderId="8" xfId="0" applyNumberFormat="1" applyFont="1" applyBorder="1" applyAlignment="1" applyProtection="1">
      <alignment horizontal="center" vertical="center" wrapText="1"/>
    </xf>
    <xf numFmtId="0" fontId="0" fillId="0" borderId="0" xfId="0" applyAlignment="1" applyProtection="1">
      <alignment horizontal="center"/>
    </xf>
    <xf numFmtId="0" fontId="18" fillId="0" borderId="8" xfId="0" applyFont="1" applyBorder="1" applyAlignment="1" applyProtection="1">
      <alignment horizontal="center" vertical="center" wrapText="1"/>
    </xf>
    <xf numFmtId="0" fontId="21" fillId="0" borderId="0" xfId="0" applyFont="1" applyAlignment="1" applyProtection="1">
      <alignment horizontal="center"/>
    </xf>
    <xf numFmtId="0" fontId="38" fillId="0" borderId="9" xfId="0" applyFont="1" applyBorder="1" applyAlignment="1" applyProtection="1">
      <alignment horizontal="center" vertical="center" wrapText="1"/>
    </xf>
    <xf numFmtId="178" fontId="38" fillId="0" borderId="9" xfId="0" applyNumberFormat="1" applyFont="1" applyBorder="1" applyAlignment="1" applyProtection="1">
      <alignment horizontal="center" vertical="center" wrapText="1"/>
    </xf>
    <xf numFmtId="0" fontId="3" fillId="0" borderId="0" xfId="0" applyFont="1" applyAlignment="1" applyProtection="1">
      <alignment vertical="center"/>
      <protection locked="0"/>
    </xf>
    <xf numFmtId="0" fontId="3" fillId="0" borderId="0" xfId="0" applyFont="1" applyProtection="1">
      <protection locked="0"/>
    </xf>
    <xf numFmtId="0" fontId="8" fillId="0" borderId="0" xfId="0" applyFont="1" applyBorder="1" applyAlignment="1" applyProtection="1">
      <alignment horizontal="center" vertical="center"/>
    </xf>
    <xf numFmtId="0" fontId="14" fillId="0" borderId="0" xfId="0" applyNumberFormat="1" applyFont="1" applyBorder="1" applyAlignment="1" applyProtection="1">
      <alignment horizontal="right" vertical="center" shrinkToFit="1"/>
      <protection locked="0"/>
    </xf>
    <xf numFmtId="0" fontId="28" fillId="0" borderId="0" xfId="0" applyFont="1" applyBorder="1" applyAlignment="1" applyProtection="1">
      <alignment horizontal="center" vertical="center"/>
    </xf>
    <xf numFmtId="0" fontId="28" fillId="0" borderId="0" xfId="0" applyFont="1" applyBorder="1" applyAlignment="1" applyProtection="1">
      <alignment vertical="center"/>
    </xf>
    <xf numFmtId="0" fontId="28" fillId="0" borderId="0" xfId="0" applyFont="1" applyBorder="1" applyProtection="1"/>
    <xf numFmtId="0" fontId="28"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6" fillId="0" borderId="0" xfId="0" applyFont="1" applyBorder="1" applyAlignment="1" applyProtection="1">
      <alignment horizontal="center" textRotation="255"/>
    </xf>
    <xf numFmtId="38" fontId="6" fillId="0" borderId="0" xfId="1" applyFont="1" applyBorder="1" applyAlignment="1" applyProtection="1">
      <alignment horizontal="center" vertical="center"/>
    </xf>
    <xf numFmtId="0" fontId="7" fillId="0" borderId="0" xfId="0" applyFont="1" applyBorder="1" applyAlignment="1" applyProtection="1">
      <alignment horizontal="right" vertical="center"/>
    </xf>
    <xf numFmtId="0" fontId="14" fillId="0" borderId="0" xfId="0" applyNumberFormat="1" applyFont="1" applyBorder="1" applyAlignment="1" applyProtection="1">
      <alignment vertical="center" shrinkToFit="1"/>
      <protection locked="0"/>
    </xf>
    <xf numFmtId="38" fontId="7" fillId="0" borderId="0" xfId="1" applyFont="1" applyBorder="1" applyAlignment="1" applyProtection="1">
      <alignment horizontal="center" vertical="center"/>
    </xf>
    <xf numFmtId="0" fontId="6" fillId="0" borderId="0" xfId="0" quotePrefix="1" applyFont="1" applyBorder="1" applyAlignment="1" applyProtection="1">
      <alignment horizontal="right" vertical="center"/>
    </xf>
    <xf numFmtId="38" fontId="7" fillId="0" borderId="0" xfId="0" applyNumberFormat="1" applyFont="1" applyBorder="1" applyAlignment="1" applyProtection="1">
      <alignment horizontal="center" vertical="center"/>
    </xf>
    <xf numFmtId="0" fontId="6" fillId="0" borderId="0" xfId="0" quotePrefix="1" applyFont="1" applyBorder="1" applyAlignment="1" applyProtection="1">
      <alignment horizontal="center" vertical="center"/>
    </xf>
    <xf numFmtId="0" fontId="11" fillId="0" borderId="0" xfId="0" applyFont="1" applyBorder="1" applyAlignment="1" applyProtection="1">
      <alignment horizontal="left" vertical="center"/>
    </xf>
    <xf numFmtId="0" fontId="12" fillId="0" borderId="0" xfId="0" applyFont="1" applyBorder="1" applyAlignment="1" applyProtection="1">
      <alignment horizontal="center" vertical="center"/>
    </xf>
    <xf numFmtId="38" fontId="6" fillId="0" borderId="0" xfId="1" applyFont="1" applyBorder="1" applyAlignment="1" applyProtection="1">
      <alignment vertical="center"/>
    </xf>
    <xf numFmtId="0" fontId="5" fillId="0" borderId="0" xfId="0" applyFont="1" applyBorder="1" applyAlignment="1" applyProtection="1">
      <alignment horizontal="right" vertical="center"/>
    </xf>
    <xf numFmtId="0" fontId="28" fillId="0" borderId="0" xfId="0" applyFont="1" applyBorder="1" applyAlignment="1" applyProtection="1">
      <alignment horizontal="right" vertical="center"/>
    </xf>
    <xf numFmtId="0" fontId="5" fillId="0" borderId="0" xfId="0" applyFont="1" applyBorder="1" applyAlignment="1" applyProtection="1">
      <alignment vertical="center"/>
    </xf>
    <xf numFmtId="0" fontId="6" fillId="0" borderId="0" xfId="0" applyFont="1" applyAlignment="1" applyProtection="1">
      <alignment horizontal="center" vertical="center"/>
    </xf>
    <xf numFmtId="0" fontId="5" fillId="0" borderId="7" xfId="0" applyFont="1" applyBorder="1" applyAlignment="1" applyProtection="1">
      <alignment horizontal="right" vertical="center"/>
    </xf>
    <xf numFmtId="0" fontId="8" fillId="0" borderId="3" xfId="0" applyFont="1" applyBorder="1" applyAlignment="1" applyProtection="1">
      <alignment horizontal="center" vertical="center"/>
    </xf>
    <xf numFmtId="0" fontId="10" fillId="0" borderId="0" xfId="0" applyFont="1" applyAlignment="1" applyProtection="1">
      <alignment horizontal="left" vertical="center"/>
      <protection locked="0"/>
    </xf>
    <xf numFmtId="0" fontId="3" fillId="3" borderId="8" xfId="0" applyFont="1" applyFill="1" applyBorder="1" applyAlignment="1">
      <alignment horizontal="center" vertical="center"/>
    </xf>
    <xf numFmtId="0" fontId="15" fillId="0" borderId="2" xfId="0" applyNumberFormat="1" applyFont="1" applyBorder="1" applyAlignment="1" applyProtection="1">
      <alignment vertical="center" shrinkToFit="1"/>
      <protection locked="0"/>
    </xf>
    <xf numFmtId="0" fontId="16" fillId="0" borderId="7" xfId="0" applyFont="1" applyBorder="1" applyAlignment="1" applyProtection="1">
      <alignment vertical="center" textRotation="255" shrinkToFit="1"/>
      <protection locked="0"/>
    </xf>
    <xf numFmtId="0" fontId="16" fillId="0" borderId="1" xfId="0" applyFont="1" applyBorder="1" applyAlignment="1" applyProtection="1">
      <alignment vertical="center" textRotation="255" shrinkToFit="1"/>
      <protection locked="0"/>
    </xf>
    <xf numFmtId="0" fontId="44" fillId="0" borderId="0" xfId="0" applyFont="1" applyAlignment="1">
      <alignment horizontal="center" vertical="center"/>
    </xf>
    <xf numFmtId="0" fontId="44" fillId="0" borderId="0" xfId="0" applyFont="1" applyBorder="1" applyAlignment="1" applyProtection="1">
      <alignment horizontal="right" vertical="center"/>
    </xf>
    <xf numFmtId="0" fontId="15" fillId="0" borderId="0" xfId="0" applyFont="1" applyBorder="1" applyAlignment="1" applyProtection="1">
      <alignment horizontal="center" vertical="center"/>
    </xf>
    <xf numFmtId="0" fontId="15" fillId="0" borderId="0" xfId="0" applyFont="1" applyBorder="1" applyAlignment="1" applyProtection="1">
      <alignment horizontal="right" vertical="center"/>
    </xf>
    <xf numFmtId="0" fontId="3" fillId="0" borderId="0" xfId="0" applyFont="1" applyProtection="1"/>
    <xf numFmtId="38" fontId="26" fillId="2" borderId="0" xfId="1" applyFont="1" applyFill="1" applyBorder="1" applyAlignment="1" applyProtection="1">
      <alignment horizontal="right" vertical="center" shrinkToFit="1"/>
    </xf>
    <xf numFmtId="0" fontId="0" fillId="0" borderId="0" xfId="0" applyAlignment="1" applyProtection="1">
      <alignment vertical="center"/>
    </xf>
    <xf numFmtId="0" fontId="45" fillId="0" borderId="8" xfId="0" applyFont="1" applyBorder="1" applyAlignment="1" applyProtection="1">
      <alignment horizontal="center" vertical="center"/>
    </xf>
    <xf numFmtId="0" fontId="6" fillId="3" borderId="8" xfId="0" applyFont="1" applyFill="1" applyBorder="1" applyAlignment="1">
      <alignment horizontal="center" vertical="center"/>
    </xf>
    <xf numFmtId="2" fontId="19" fillId="2" borderId="8" xfId="0" applyNumberFormat="1" applyFont="1" applyFill="1" applyBorder="1" applyAlignment="1" applyProtection="1">
      <alignment horizontal="center" vertical="center"/>
    </xf>
    <xf numFmtId="1" fontId="19" fillId="2" borderId="8" xfId="0" applyNumberFormat="1" applyFont="1" applyFill="1" applyBorder="1" applyAlignment="1" applyProtection="1">
      <alignment horizontal="center" vertical="center"/>
    </xf>
    <xf numFmtId="38" fontId="25" fillId="0" borderId="0" xfId="1" applyFont="1" applyFill="1" applyBorder="1" applyAlignment="1" applyProtection="1">
      <alignment vertical="center" shrinkToFit="1"/>
    </xf>
    <xf numFmtId="0" fontId="46" fillId="0" borderId="0" xfId="0" applyFont="1"/>
    <xf numFmtId="0" fontId="23" fillId="0" borderId="0" xfId="0" applyFont="1"/>
    <xf numFmtId="0" fontId="23" fillId="5" borderId="8" xfId="0" applyFont="1" applyFill="1" applyBorder="1" applyAlignment="1" applyProtection="1">
      <alignment horizontal="center" vertical="center"/>
      <protection locked="0"/>
    </xf>
    <xf numFmtId="2" fontId="35" fillId="6" borderId="8" xfId="0" applyNumberFormat="1" applyFont="1" applyFill="1" applyBorder="1" applyAlignment="1" applyProtection="1">
      <alignment horizontal="center" vertical="center" wrapText="1"/>
    </xf>
    <xf numFmtId="0" fontId="3" fillId="3" borderId="8" xfId="0" applyFont="1" applyFill="1" applyBorder="1" applyAlignment="1" applyProtection="1">
      <alignment horizontal="center" vertical="center"/>
    </xf>
    <xf numFmtId="0" fontId="23" fillId="2" borderId="8" xfId="0" applyFont="1" applyFill="1" applyBorder="1" applyAlignment="1" applyProtection="1">
      <alignment horizontal="center" vertical="center"/>
    </xf>
    <xf numFmtId="0" fontId="49" fillId="0" borderId="0" xfId="0" applyFont="1" applyFill="1" applyBorder="1" applyAlignment="1" applyProtection="1">
      <alignment vertical="center"/>
    </xf>
    <xf numFmtId="0" fontId="7" fillId="0" borderId="0" xfId="0" applyFont="1" applyFill="1" applyBorder="1" applyAlignment="1" applyProtection="1">
      <alignment horizontal="center" vertical="top"/>
    </xf>
    <xf numFmtId="38" fontId="50" fillId="0" borderId="0" xfId="1" applyFont="1" applyAlignment="1">
      <alignment vertical="center"/>
    </xf>
    <xf numFmtId="0" fontId="47" fillId="3" borderId="8" xfId="0" applyFont="1" applyFill="1" applyBorder="1" applyAlignment="1">
      <alignment horizontal="center" vertical="center"/>
    </xf>
    <xf numFmtId="0" fontId="18" fillId="7" borderId="8" xfId="0" applyFont="1" applyFill="1" applyBorder="1" applyAlignment="1" applyProtection="1">
      <alignment horizontal="center" vertical="center"/>
      <protection locked="0"/>
    </xf>
    <xf numFmtId="0" fontId="7" fillId="3" borderId="8" xfId="0" applyFont="1" applyFill="1" applyBorder="1" applyAlignment="1">
      <alignment horizontal="center" vertical="center"/>
    </xf>
    <xf numFmtId="0" fontId="15" fillId="0" borderId="1" xfId="0" applyFont="1" applyBorder="1" applyAlignment="1" applyProtection="1">
      <alignment horizontal="left" vertical="center" shrinkToFit="1"/>
    </xf>
    <xf numFmtId="0" fontId="16" fillId="0" borderId="7" xfId="0" applyFont="1" applyBorder="1" applyAlignment="1" applyProtection="1">
      <alignment vertical="center" textRotation="255" shrinkToFit="1"/>
    </xf>
    <xf numFmtId="0" fontId="16" fillId="0" borderId="1" xfId="0" applyFont="1" applyBorder="1" applyAlignment="1" applyProtection="1">
      <alignment vertical="center" textRotation="255" shrinkToFit="1"/>
    </xf>
    <xf numFmtId="0" fontId="10" fillId="3" borderId="8" xfId="0" applyFont="1" applyFill="1" applyBorder="1" applyAlignment="1">
      <alignment horizontal="center" vertical="center"/>
    </xf>
    <xf numFmtId="188" fontId="23" fillId="2" borderId="8" xfId="2" applyNumberFormat="1"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7" fillId="0" borderId="0" xfId="0" applyFont="1" applyBorder="1" applyAlignment="1" applyProtection="1">
      <alignment horizontal="right" vertical="center"/>
    </xf>
    <xf numFmtId="0" fontId="3" fillId="0" borderId="8" xfId="0" applyFont="1" applyFill="1" applyBorder="1" applyAlignment="1">
      <alignment horizontal="center" vertical="center"/>
    </xf>
    <xf numFmtId="0" fontId="6" fillId="0" borderId="8" xfId="0" applyFont="1" applyFill="1" applyBorder="1" applyAlignment="1">
      <alignment horizontal="center" vertical="center"/>
    </xf>
    <xf numFmtId="0" fontId="49" fillId="0" borderId="0" xfId="0" applyFont="1" applyFill="1" applyBorder="1" applyAlignment="1" applyProtection="1">
      <alignment horizontal="right" vertical="center"/>
    </xf>
    <xf numFmtId="0" fontId="6" fillId="0" borderId="0" xfId="0" applyNumberFormat="1" applyFont="1" applyFill="1" applyBorder="1" applyAlignment="1" applyProtection="1">
      <alignment horizontal="center" vertical="center" shrinkToFit="1"/>
    </xf>
    <xf numFmtId="0" fontId="22" fillId="0" borderId="0" xfId="0" applyFont="1" applyAlignment="1" applyProtection="1">
      <alignment horizontal="center" vertical="center"/>
    </xf>
    <xf numFmtId="2" fontId="22" fillId="0" borderId="0" xfId="0" applyNumberFormat="1" applyFont="1" applyAlignment="1">
      <alignment horizontal="center" vertical="center"/>
    </xf>
    <xf numFmtId="0" fontId="22" fillId="0" borderId="0" xfId="0" applyFont="1" applyAlignment="1">
      <alignment horizontal="center" vertical="center"/>
    </xf>
    <xf numFmtId="0" fontId="31" fillId="0" borderId="29" xfId="0" applyFont="1" applyBorder="1" applyAlignment="1" applyProtection="1">
      <alignment horizontal="center" vertical="center"/>
    </xf>
    <xf numFmtId="0" fontId="6"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38" fontId="6" fillId="0" borderId="0" xfId="1" applyFont="1" applyBorder="1" applyAlignment="1" applyProtection="1">
      <alignment horizontal="center" vertical="center"/>
    </xf>
    <xf numFmtId="0" fontId="6" fillId="0" borderId="0" xfId="0" applyFont="1" applyBorder="1" applyAlignment="1" applyProtection="1">
      <alignment horizontal="left" vertical="center"/>
    </xf>
    <xf numFmtId="0" fontId="5" fillId="0" borderId="0" xfId="0" applyFont="1" applyBorder="1" applyAlignment="1" applyProtection="1">
      <alignment horizontal="left" vertical="center"/>
    </xf>
    <xf numFmtId="0" fontId="7" fillId="0" borderId="0" xfId="0" applyFont="1" applyBorder="1" applyAlignment="1" applyProtection="1"/>
    <xf numFmtId="0" fontId="47" fillId="0" borderId="0" xfId="0" applyFont="1" applyProtection="1">
      <protection locked="0"/>
    </xf>
    <xf numFmtId="0" fontId="47" fillId="6" borderId="22" xfId="0" applyFont="1" applyFill="1" applyBorder="1" applyAlignment="1">
      <alignment horizontal="center" vertical="center"/>
    </xf>
    <xf numFmtId="0" fontId="47" fillId="6" borderId="70" xfId="0" applyFont="1" applyFill="1" applyBorder="1" applyAlignment="1">
      <alignment horizontal="center" vertical="center"/>
    </xf>
    <xf numFmtId="0" fontId="47" fillId="0" borderId="0" xfId="0" applyFont="1" applyAlignment="1">
      <alignment horizontal="center" vertical="center"/>
    </xf>
    <xf numFmtId="0" fontId="47" fillId="6" borderId="14" xfId="0" applyFont="1" applyFill="1" applyBorder="1" applyAlignment="1">
      <alignment horizontal="center" vertical="center"/>
    </xf>
    <xf numFmtId="2" fontId="35" fillId="0" borderId="8" xfId="0" applyNumberFormat="1" applyFont="1" applyFill="1" applyBorder="1" applyAlignment="1" applyProtection="1">
      <alignment horizontal="center" vertical="center" wrapText="1"/>
    </xf>
    <xf numFmtId="0" fontId="13" fillId="5" borderId="13" xfId="0" applyFont="1" applyFill="1" applyBorder="1" applyAlignment="1" applyProtection="1">
      <alignment horizontal="left" vertical="center"/>
      <protection locked="0"/>
    </xf>
    <xf numFmtId="0" fontId="6" fillId="0" borderId="0" xfId="0" applyFont="1" applyBorder="1" applyAlignment="1" applyProtection="1">
      <alignment vertical="top" textRotation="255"/>
    </xf>
    <xf numFmtId="0" fontId="31" fillId="0" borderId="13" xfId="0" applyFont="1" applyFill="1" applyBorder="1" applyAlignment="1" applyProtection="1">
      <alignment horizontal="center" vertical="center"/>
      <protection locked="0"/>
    </xf>
    <xf numFmtId="0" fontId="31" fillId="0" borderId="8" xfId="0" applyFont="1" applyFill="1" applyBorder="1" applyAlignment="1" applyProtection="1">
      <alignment horizontal="center" vertical="center"/>
      <protection locked="0"/>
    </xf>
    <xf numFmtId="0" fontId="31" fillId="0" borderId="32" xfId="0" applyFont="1" applyFill="1" applyBorder="1" applyAlignment="1" applyProtection="1">
      <alignment horizontal="center" vertical="center"/>
      <protection locked="0"/>
    </xf>
    <xf numFmtId="0" fontId="3" fillId="8" borderId="56" xfId="0" applyFont="1" applyFill="1" applyBorder="1" applyAlignment="1">
      <alignment vertical="center"/>
    </xf>
    <xf numFmtId="0" fontId="3" fillId="8" borderId="55" xfId="0" applyFont="1" applyFill="1" applyBorder="1" applyAlignment="1">
      <alignment vertical="center"/>
    </xf>
    <xf numFmtId="0" fontId="3" fillId="8" borderId="21" xfId="0" applyFont="1" applyFill="1" applyBorder="1" applyAlignment="1" applyProtection="1">
      <alignment vertical="center"/>
    </xf>
    <xf numFmtId="0" fontId="3" fillId="8" borderId="59" xfId="0" applyFont="1" applyFill="1" applyBorder="1" applyAlignment="1">
      <alignment vertical="center"/>
    </xf>
    <xf numFmtId="0" fontId="31" fillId="8" borderId="60" xfId="0" applyFont="1" applyFill="1" applyBorder="1" applyAlignment="1">
      <alignment horizontal="center" vertical="center"/>
    </xf>
    <xf numFmtId="3" fontId="50" fillId="8" borderId="60" xfId="0" applyNumberFormat="1" applyFont="1" applyFill="1" applyBorder="1" applyAlignment="1" applyProtection="1">
      <alignment vertical="center"/>
      <protection locked="0"/>
    </xf>
    <xf numFmtId="0" fontId="47" fillId="8" borderId="60" xfId="0" applyFont="1" applyFill="1" applyBorder="1" applyAlignment="1" applyProtection="1">
      <alignment horizontal="center" vertical="center" shrinkToFit="1"/>
      <protection locked="0"/>
    </xf>
    <xf numFmtId="0" fontId="47" fillId="8" borderId="60" xfId="0" applyFont="1" applyFill="1" applyBorder="1" applyAlignment="1" applyProtection="1">
      <alignment horizontal="center" vertical="center"/>
      <protection locked="0"/>
    </xf>
    <xf numFmtId="181" fontId="20" fillId="8" borderId="60" xfId="0" applyNumberFormat="1" applyFont="1" applyFill="1" applyBorder="1" applyAlignment="1" applyProtection="1">
      <alignment vertical="center"/>
      <protection locked="0"/>
    </xf>
    <xf numFmtId="0" fontId="47" fillId="8" borderId="60" xfId="0" applyFont="1" applyFill="1" applyBorder="1" applyAlignment="1">
      <alignment horizontal="center" vertical="center"/>
    </xf>
    <xf numFmtId="0" fontId="3" fillId="8" borderId="60" xfId="0" applyFont="1" applyFill="1" applyBorder="1" applyAlignment="1">
      <alignment vertical="center"/>
    </xf>
    <xf numFmtId="0" fontId="3" fillId="8" borderId="61" xfId="0" applyFont="1" applyFill="1" applyBorder="1" applyAlignment="1">
      <alignment vertical="center"/>
    </xf>
    <xf numFmtId="0" fontId="3" fillId="8" borderId="0" xfId="0" applyFont="1" applyFill="1" applyBorder="1" applyAlignment="1" applyProtection="1">
      <alignment vertical="center"/>
    </xf>
    <xf numFmtId="0" fontId="3" fillId="8" borderId="0" xfId="0" applyFont="1" applyFill="1" applyBorder="1" applyAlignment="1">
      <alignment vertical="center"/>
    </xf>
    <xf numFmtId="0" fontId="3" fillId="8" borderId="57" xfId="0" applyFont="1" applyFill="1" applyBorder="1" applyAlignment="1">
      <alignment vertical="center"/>
    </xf>
    <xf numFmtId="0" fontId="3" fillId="8" borderId="58" xfId="0" applyFont="1" applyFill="1" applyBorder="1" applyAlignment="1" applyProtection="1">
      <alignment vertical="center"/>
    </xf>
    <xf numFmtId="0" fontId="55" fillId="8" borderId="58" xfId="0" applyFont="1" applyFill="1" applyBorder="1" applyAlignment="1" applyProtection="1">
      <alignment vertical="center"/>
      <protection locked="0"/>
    </xf>
    <xf numFmtId="0" fontId="28" fillId="0" borderId="0" xfId="0" applyFont="1" applyBorder="1" applyAlignment="1" applyProtection="1">
      <alignment horizontal="center" vertical="center"/>
    </xf>
    <xf numFmtId="0" fontId="28" fillId="0" borderId="0" xfId="0" applyFont="1" applyBorder="1" applyAlignment="1" applyProtection="1">
      <alignment vertical="center"/>
    </xf>
    <xf numFmtId="0" fontId="6" fillId="0" borderId="0" xfId="0" applyFont="1" applyBorder="1" applyAlignment="1" applyProtection="1">
      <alignment horizontal="center" vertical="center"/>
    </xf>
    <xf numFmtId="0" fontId="28" fillId="0" borderId="0" xfId="0" applyFont="1" applyFill="1" applyBorder="1" applyAlignment="1" applyProtection="1">
      <alignment horizontal="center" vertical="center"/>
    </xf>
    <xf numFmtId="0" fontId="7" fillId="0" borderId="0" xfId="0" applyFont="1" applyBorder="1" applyAlignment="1" applyProtection="1">
      <alignment vertical="center"/>
    </xf>
    <xf numFmtId="0" fontId="19" fillId="0" borderId="0" xfId="0" applyFont="1" applyBorder="1" applyAlignment="1" applyProtection="1">
      <alignment vertical="center"/>
    </xf>
    <xf numFmtId="0" fontId="6" fillId="0" borderId="0" xfId="0" applyFont="1" applyBorder="1" applyAlignment="1" applyProtection="1">
      <alignment horizontal="left" vertical="center"/>
    </xf>
    <xf numFmtId="0" fontId="47" fillId="0" borderId="0" xfId="0" applyFont="1" applyAlignment="1">
      <alignment vertical="center" wrapText="1"/>
    </xf>
    <xf numFmtId="38" fontId="17" fillId="0" borderId="0" xfId="1" applyFont="1" applyFill="1" applyBorder="1" applyAlignment="1" applyProtection="1">
      <alignment vertical="center" shrinkToFit="1"/>
    </xf>
    <xf numFmtId="2" fontId="17" fillId="0" borderId="0" xfId="0" applyNumberFormat="1" applyFont="1" applyFill="1" applyBorder="1" applyAlignment="1" applyProtection="1">
      <alignment vertical="center"/>
    </xf>
    <xf numFmtId="0" fontId="50" fillId="2"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47" fillId="0" borderId="0" xfId="0" applyFont="1" applyFill="1" applyAlignment="1">
      <alignment vertical="center" wrapText="1"/>
    </xf>
    <xf numFmtId="40" fontId="57" fillId="0" borderId="0" xfId="1" quotePrefix="1" applyNumberFormat="1" applyFont="1" applyFill="1" applyBorder="1" applyAlignment="1" applyProtection="1">
      <alignment horizontal="center" vertical="center"/>
    </xf>
    <xf numFmtId="2" fontId="50" fillId="0" borderId="0" xfId="0" applyNumberFormat="1"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19" fillId="0" borderId="0" xfId="0" applyFont="1" applyFill="1" applyBorder="1" applyAlignment="1" applyProtection="1">
      <alignment vertical="center"/>
    </xf>
    <xf numFmtId="38" fontId="6" fillId="0" borderId="0" xfId="1" applyFont="1" applyFill="1" applyBorder="1" applyAlignment="1" applyProtection="1">
      <alignment vertical="center" shrinkToFit="1"/>
    </xf>
    <xf numFmtId="0" fontId="3" fillId="0" borderId="0" xfId="0" applyFont="1" applyBorder="1"/>
    <xf numFmtId="2" fontId="10" fillId="0" borderId="0" xfId="0" applyNumberFormat="1" applyFont="1" applyFill="1" applyBorder="1" applyAlignment="1" applyProtection="1">
      <alignment horizontal="center" vertical="center"/>
    </xf>
    <xf numFmtId="0" fontId="7" fillId="0" borderId="0" xfId="0" applyFont="1" applyFill="1" applyBorder="1" applyAlignment="1">
      <alignment horizontal="center" vertical="center"/>
    </xf>
    <xf numFmtId="0" fontId="13" fillId="0" borderId="0" xfId="0" applyFont="1" applyFill="1" applyBorder="1" applyAlignment="1" applyProtection="1">
      <alignment horizontal="left" vertical="center"/>
      <protection locked="0"/>
    </xf>
    <xf numFmtId="38" fontId="6" fillId="0" borderId="0" xfId="1" applyFont="1" applyFill="1" applyBorder="1" applyAlignment="1" applyProtection="1">
      <alignment horizontal="right" vertical="center" shrinkToFit="1"/>
    </xf>
    <xf numFmtId="0" fontId="31" fillId="0" borderId="0" xfId="0" applyFont="1" applyAlignment="1">
      <alignment vertical="center" wrapText="1"/>
    </xf>
    <xf numFmtId="0" fontId="6" fillId="0" borderId="2" xfId="0" applyFont="1" applyBorder="1" applyAlignment="1" applyProtection="1">
      <alignment horizontal="center" vertical="center" shrinkToFit="1"/>
    </xf>
    <xf numFmtId="0" fontId="23" fillId="2" borderId="0" xfId="0" applyNumberFormat="1" applyFont="1" applyFill="1" applyBorder="1" applyAlignment="1" applyProtection="1">
      <alignment horizontal="center" vertical="center" shrinkToFit="1"/>
    </xf>
    <xf numFmtId="40" fontId="23" fillId="5" borderId="8" xfId="1" applyNumberFormat="1" applyFont="1" applyFill="1" applyBorder="1" applyAlignment="1" applyProtection="1">
      <alignment horizontal="center" vertical="center"/>
      <protection locked="0"/>
    </xf>
    <xf numFmtId="2" fontId="23" fillId="5" borderId="8" xfId="0" applyNumberFormat="1" applyFont="1" applyFill="1" applyBorder="1" applyAlignment="1" applyProtection="1">
      <alignment horizontal="center" vertical="center"/>
      <protection locked="0"/>
    </xf>
    <xf numFmtId="0" fontId="0" fillId="0" borderId="0" xfId="0" applyAlignment="1">
      <alignment vertical="center"/>
    </xf>
    <xf numFmtId="0" fontId="0" fillId="0" borderId="0" xfId="0" applyAlignment="1">
      <alignment horizontal="right" vertical="center"/>
    </xf>
    <xf numFmtId="0" fontId="0" fillId="7" borderId="0" xfId="0" applyFill="1" applyAlignment="1">
      <alignment vertical="center"/>
    </xf>
    <xf numFmtId="0" fontId="0" fillId="0" borderId="0" xfId="0" applyFill="1" applyAlignment="1">
      <alignment vertical="center"/>
    </xf>
    <xf numFmtId="0" fontId="0" fillId="2" borderId="0" xfId="0" applyFill="1" applyAlignment="1">
      <alignment vertical="center"/>
    </xf>
    <xf numFmtId="0" fontId="0" fillId="5" borderId="0" xfId="0" applyFill="1" applyAlignment="1">
      <alignment vertical="center"/>
    </xf>
    <xf numFmtId="0" fontId="0" fillId="4" borderId="0" xfId="0" applyFill="1" applyAlignment="1">
      <alignment vertical="center"/>
    </xf>
    <xf numFmtId="0" fontId="6" fillId="0" borderId="13" xfId="0" applyFont="1" applyFill="1" applyBorder="1" applyAlignment="1">
      <alignment horizontal="center" vertical="center"/>
    </xf>
    <xf numFmtId="178" fontId="19" fillId="5" borderId="8" xfId="0" applyNumberFormat="1" applyFont="1" applyFill="1" applyBorder="1" applyAlignment="1" applyProtection="1">
      <alignment horizontal="center" vertical="center"/>
      <protection locked="0"/>
    </xf>
    <xf numFmtId="2" fontId="19" fillId="5" borderId="8" xfId="0" applyNumberFormat="1" applyFont="1" applyFill="1" applyBorder="1" applyAlignment="1" applyProtection="1">
      <alignment horizontal="center" vertical="center"/>
      <protection locked="0"/>
    </xf>
    <xf numFmtId="0" fontId="13" fillId="5" borderId="8" xfId="0" applyFont="1" applyFill="1" applyBorder="1" applyAlignment="1">
      <alignment horizontal="left" vertical="center"/>
    </xf>
    <xf numFmtId="49" fontId="0" fillId="0" borderId="0" xfId="0" applyNumberFormat="1"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vertical="top"/>
    </xf>
    <xf numFmtId="0" fontId="63" fillId="0" borderId="0" xfId="0" applyFont="1" applyAlignment="1">
      <alignment vertical="center"/>
    </xf>
    <xf numFmtId="0" fontId="61" fillId="0" borderId="0" xfId="0" applyFont="1" applyAlignment="1">
      <alignment vertical="center"/>
    </xf>
    <xf numFmtId="0" fontId="0" fillId="0" borderId="0" xfId="0" applyFont="1" applyAlignment="1">
      <alignment vertical="center"/>
    </xf>
    <xf numFmtId="0" fontId="66" fillId="0" borderId="0" xfId="0" applyFont="1" applyAlignment="1">
      <alignment vertical="top"/>
    </xf>
    <xf numFmtId="0" fontId="67" fillId="0" borderId="0" xfId="0" applyFont="1" applyAlignment="1">
      <alignment horizontal="center" vertical="center"/>
    </xf>
    <xf numFmtId="179" fontId="32" fillId="2" borderId="8" xfId="0" applyNumberFormat="1" applyFont="1" applyFill="1" applyBorder="1" applyAlignment="1" applyProtection="1">
      <alignment horizontal="center" vertical="center"/>
    </xf>
    <xf numFmtId="0" fontId="6" fillId="0" borderId="0" xfId="0" applyFont="1" applyBorder="1" applyAlignment="1" applyProtection="1">
      <alignment vertical="center"/>
    </xf>
    <xf numFmtId="0" fontId="58" fillId="0" borderId="0" xfId="0" applyFont="1" applyBorder="1" applyAlignment="1" applyProtection="1">
      <alignment horizontal="center" vertical="center"/>
    </xf>
    <xf numFmtId="0" fontId="70" fillId="0" borderId="0" xfId="0" applyFont="1" applyAlignment="1">
      <alignment vertical="center"/>
    </xf>
    <xf numFmtId="0" fontId="70" fillId="0" borderId="0" xfId="0" applyFont="1" applyAlignment="1">
      <alignment horizontal="right" vertical="center"/>
    </xf>
    <xf numFmtId="49" fontId="70" fillId="0" borderId="0" xfId="0" applyNumberFormat="1" applyFont="1" applyAlignment="1">
      <alignment vertical="center"/>
    </xf>
    <xf numFmtId="0" fontId="65" fillId="0" borderId="0" xfId="0" applyFont="1" applyAlignment="1"/>
    <xf numFmtId="0" fontId="23" fillId="0" borderId="0" xfId="0" applyFont="1" applyAlignment="1" applyProtection="1">
      <alignment horizontal="center"/>
    </xf>
    <xf numFmtId="0" fontId="22" fillId="0" borderId="0" xfId="0" applyFont="1"/>
    <xf numFmtId="0" fontId="47" fillId="0" borderId="8" xfId="0" applyFont="1" applyFill="1" applyBorder="1" applyAlignment="1" applyProtection="1">
      <alignment horizontal="center" vertical="center" shrinkToFit="1"/>
    </xf>
    <xf numFmtId="184" fontId="22" fillId="0" borderId="0" xfId="0" applyNumberFormat="1" applyFont="1" applyFill="1" applyAlignment="1" applyProtection="1">
      <alignment vertical="top"/>
    </xf>
    <xf numFmtId="2" fontId="72" fillId="0" borderId="0" xfId="0" quotePrefix="1" applyNumberFormat="1" applyFont="1" applyFill="1" applyBorder="1" applyAlignment="1" applyProtection="1">
      <alignment horizontal="center" vertical="center"/>
    </xf>
    <xf numFmtId="2" fontId="50" fillId="2" borderId="0" xfId="0" applyNumberFormat="1" applyFont="1" applyFill="1" applyAlignment="1" applyProtection="1">
      <alignment vertical="center"/>
    </xf>
    <xf numFmtId="0" fontId="31" fillId="8" borderId="21" xfId="0" applyFont="1" applyFill="1" applyBorder="1" applyAlignment="1" applyProtection="1">
      <alignment horizontal="center" vertical="center"/>
    </xf>
    <xf numFmtId="181" fontId="54" fillId="8" borderId="21" xfId="0" applyNumberFormat="1" applyFont="1" applyFill="1" applyBorder="1" applyAlignment="1" applyProtection="1">
      <alignment horizontal="center" vertical="center" wrapText="1"/>
    </xf>
    <xf numFmtId="181" fontId="50" fillId="8" borderId="21" xfId="0" applyNumberFormat="1" applyFont="1" applyFill="1" applyBorder="1" applyAlignment="1" applyProtection="1">
      <alignment vertical="center" shrinkToFit="1"/>
      <protection locked="0"/>
    </xf>
    <xf numFmtId="0" fontId="6"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6" fillId="0" borderId="0" xfId="0" applyFont="1" applyBorder="1" applyAlignment="1" applyProtection="1">
      <alignment vertical="top" textRotation="255"/>
    </xf>
    <xf numFmtId="0" fontId="58" fillId="0" borderId="0" xfId="0" applyFont="1" applyBorder="1" applyAlignment="1" applyProtection="1">
      <alignment vertical="center"/>
    </xf>
    <xf numFmtId="0" fontId="10" fillId="0" borderId="0" xfId="0" applyFont="1" applyBorder="1" applyAlignment="1" applyProtection="1">
      <alignment vertical="center"/>
    </xf>
    <xf numFmtId="0" fontId="28" fillId="0" borderId="0" xfId="0" applyFont="1" applyBorder="1" applyAlignment="1" applyProtection="1">
      <alignment horizontal="center" vertical="center"/>
    </xf>
    <xf numFmtId="0" fontId="28" fillId="0" borderId="0" xfId="0" applyFont="1" applyBorder="1" applyAlignment="1" applyProtection="1">
      <alignment vertical="center"/>
    </xf>
    <xf numFmtId="0" fontId="6" fillId="0" borderId="0" xfId="0" applyFont="1" applyBorder="1" applyAlignment="1" applyProtection="1">
      <alignment vertical="center"/>
    </xf>
    <xf numFmtId="0" fontId="28" fillId="0" borderId="0" xfId="0" applyFont="1" applyBorder="1" applyAlignment="1" applyProtection="1">
      <alignment horizontal="right" vertical="center"/>
    </xf>
    <xf numFmtId="0" fontId="15" fillId="0" borderId="0" xfId="0" applyFont="1" applyBorder="1" applyAlignment="1" applyProtection="1">
      <alignment horizontal="center" vertical="center"/>
    </xf>
    <xf numFmtId="0" fontId="4" fillId="0" borderId="0" xfId="0" applyFont="1" applyBorder="1" applyAlignment="1" applyProtection="1">
      <alignment vertical="center"/>
    </xf>
    <xf numFmtId="0" fontId="6" fillId="0" borderId="0" xfId="0" applyFont="1" applyBorder="1" applyAlignment="1" applyProtection="1">
      <alignment horizontal="center" vertical="center"/>
    </xf>
    <xf numFmtId="0" fontId="6" fillId="0" borderId="0" xfId="0" applyFont="1" applyBorder="1" applyAlignment="1" applyProtection="1">
      <alignment horizontal="center" vertical="top"/>
    </xf>
    <xf numFmtId="0" fontId="6" fillId="0" borderId="0" xfId="0" applyFont="1" applyBorder="1" applyAlignment="1" applyProtection="1">
      <alignment vertical="center"/>
    </xf>
    <xf numFmtId="0" fontId="6" fillId="0" borderId="0" xfId="0" applyFont="1" applyBorder="1" applyAlignment="1" applyProtection="1">
      <alignment horizontal="right" vertical="center"/>
    </xf>
    <xf numFmtId="38" fontId="6" fillId="0" borderId="0" xfId="1" applyFont="1" applyBorder="1" applyAlignment="1" applyProtection="1">
      <alignment horizontal="center" vertical="center"/>
    </xf>
    <xf numFmtId="0" fontId="28" fillId="0" borderId="0" xfId="0" applyFont="1" applyBorder="1" applyAlignment="1" applyProtection="1">
      <alignment vertical="center"/>
    </xf>
    <xf numFmtId="0" fontId="5" fillId="0" borderId="0" xfId="0" applyFont="1" applyBorder="1" applyAlignment="1" applyProtection="1">
      <alignment vertical="distributed" textRotation="255" indent="2"/>
    </xf>
    <xf numFmtId="0" fontId="44" fillId="0" borderId="0" xfId="0" applyFont="1" applyBorder="1" applyAlignment="1" applyProtection="1">
      <alignment horizontal="center" vertical="center"/>
    </xf>
    <xf numFmtId="0" fontId="15" fillId="0" borderId="0" xfId="0" applyFont="1" applyBorder="1" applyAlignment="1" applyProtection="1">
      <alignment horizontal="center" vertical="center" wrapText="1"/>
    </xf>
    <xf numFmtId="0" fontId="8" fillId="0" borderId="0" xfId="0" applyFont="1" applyBorder="1" applyAlignment="1" applyProtection="1">
      <alignment vertical="center"/>
    </xf>
    <xf numFmtId="0" fontId="3" fillId="0" borderId="0" xfId="0" applyFont="1" applyFill="1"/>
    <xf numFmtId="0" fontId="31" fillId="0" borderId="0" xfId="0" applyFont="1" applyAlignment="1">
      <alignment vertical="center"/>
    </xf>
    <xf numFmtId="0" fontId="6" fillId="0" borderId="0" xfId="0" quotePrefix="1" applyFont="1" applyFill="1" applyBorder="1" applyAlignment="1" applyProtection="1">
      <alignment horizontal="right" vertical="center"/>
    </xf>
    <xf numFmtId="40" fontId="17" fillId="0" borderId="0" xfId="1" applyNumberFormat="1" applyFont="1" applyFill="1" applyBorder="1" applyAlignment="1" applyProtection="1">
      <alignment horizontal="center" vertical="center" shrinkToFit="1"/>
    </xf>
    <xf numFmtId="38" fontId="6" fillId="0" borderId="0" xfId="1" applyFont="1" applyBorder="1" applyAlignment="1" applyProtection="1">
      <alignment horizontal="left" vertical="center"/>
    </xf>
    <xf numFmtId="38" fontId="17" fillId="0" borderId="0" xfId="1" applyFont="1" applyFill="1" applyBorder="1" applyAlignment="1" applyProtection="1">
      <alignment horizontal="right" vertical="center" shrinkToFit="1"/>
    </xf>
    <xf numFmtId="38" fontId="6" fillId="0" borderId="0" xfId="1" applyFont="1" applyFill="1" applyBorder="1" applyAlignment="1" applyProtection="1">
      <alignment horizontal="center" vertical="center"/>
    </xf>
    <xf numFmtId="38" fontId="75" fillId="0" borderId="0" xfId="1" applyFont="1" applyFill="1" applyBorder="1" applyAlignment="1" applyProtection="1">
      <alignment horizontal="right" vertical="center" shrinkToFit="1"/>
    </xf>
    <xf numFmtId="0" fontId="3" fillId="0" borderId="0" xfId="0" applyFont="1" applyBorder="1" applyAlignment="1" applyProtection="1">
      <alignment vertical="center"/>
    </xf>
    <xf numFmtId="40" fontId="74" fillId="0" borderId="0" xfId="1" applyNumberFormat="1" applyFont="1" applyFill="1" applyBorder="1" applyAlignment="1" applyProtection="1">
      <alignment horizontal="center" vertical="center" shrinkToFit="1"/>
    </xf>
    <xf numFmtId="40" fontId="14" fillId="0" borderId="0" xfId="1" applyNumberFormat="1" applyFont="1" applyFill="1" applyBorder="1" applyAlignment="1" applyProtection="1">
      <alignment horizontal="center" vertical="center" shrinkToFit="1"/>
    </xf>
    <xf numFmtId="0" fontId="0" fillId="0" borderId="0" xfId="0" applyBorder="1" applyAlignment="1" applyProtection="1">
      <alignment horizontal="center"/>
    </xf>
    <xf numFmtId="0" fontId="21" fillId="0" borderId="0" xfId="0" applyFont="1" applyBorder="1" applyAlignment="1" applyProtection="1">
      <alignment vertical="center"/>
    </xf>
    <xf numFmtId="0" fontId="18" fillId="7" borderId="8" xfId="0" applyFont="1" applyFill="1" applyBorder="1" applyAlignment="1" applyProtection="1">
      <alignment horizontal="center" vertical="center" wrapText="1"/>
    </xf>
    <xf numFmtId="2" fontId="35" fillId="7" borderId="9" xfId="0" applyNumberFormat="1" applyFont="1" applyFill="1" applyBorder="1" applyAlignment="1" applyProtection="1">
      <alignment horizontal="center" vertical="center" wrapText="1"/>
    </xf>
    <xf numFmtId="0" fontId="34" fillId="7" borderId="10" xfId="0" applyFont="1" applyFill="1" applyBorder="1" applyAlignment="1" applyProtection="1">
      <alignment horizontal="center" vertical="center" wrapText="1"/>
    </xf>
    <xf numFmtId="2" fontId="35" fillId="7" borderId="8" xfId="0" applyNumberFormat="1" applyFont="1" applyFill="1" applyBorder="1" applyAlignment="1" applyProtection="1">
      <alignment horizontal="center" vertical="center" wrapText="1"/>
    </xf>
    <xf numFmtId="0" fontId="0" fillId="0" borderId="70" xfId="0" applyBorder="1" applyAlignment="1" applyProtection="1">
      <alignment horizontal="center"/>
    </xf>
    <xf numFmtId="0" fontId="6" fillId="0" borderId="0" xfId="0" applyFont="1" applyBorder="1" applyAlignment="1" applyProtection="1">
      <alignment vertical="distributed" textRotation="255" wrapText="1"/>
    </xf>
    <xf numFmtId="40" fontId="20" fillId="0" borderId="0" xfId="1" applyNumberFormat="1" applyFont="1" applyFill="1" applyBorder="1" applyAlignment="1" applyProtection="1">
      <alignment shrinkToFit="1"/>
    </xf>
    <xf numFmtId="4" fontId="17" fillId="0" borderId="0" xfId="1" applyNumberFormat="1" applyFont="1" applyFill="1" applyBorder="1" applyAlignment="1" applyProtection="1">
      <alignment vertical="center" shrinkToFit="1"/>
    </xf>
    <xf numFmtId="0" fontId="27" fillId="0" borderId="0" xfId="0" applyFont="1" applyBorder="1" applyAlignment="1" applyProtection="1">
      <alignment vertical="center"/>
    </xf>
    <xf numFmtId="0" fontId="27" fillId="0" borderId="0" xfId="0" quotePrefix="1" applyFont="1" applyBorder="1" applyAlignment="1" applyProtection="1">
      <alignment vertical="center"/>
    </xf>
    <xf numFmtId="0" fontId="28" fillId="0" borderId="0" xfId="0" applyFont="1" applyFill="1" applyBorder="1" applyAlignment="1" applyProtection="1">
      <alignment vertical="center"/>
    </xf>
    <xf numFmtId="179" fontId="32" fillId="0" borderId="0" xfId="0" applyNumberFormat="1" applyFont="1" applyFill="1" applyBorder="1" applyAlignment="1" applyProtection="1">
      <alignment horizontal="center" vertical="center"/>
    </xf>
    <xf numFmtId="0" fontId="46" fillId="7" borderId="0" xfId="0" applyFont="1" applyFill="1" applyBorder="1" applyAlignment="1" applyProtection="1">
      <alignment horizontal="center" vertical="center"/>
      <protection locked="0"/>
    </xf>
    <xf numFmtId="2" fontId="19" fillId="0" borderId="0" xfId="0" applyNumberFormat="1" applyFont="1" applyFill="1" applyBorder="1" applyAlignment="1" applyProtection="1">
      <alignment horizontal="center" vertical="center"/>
    </xf>
    <xf numFmtId="0" fontId="81" fillId="0" borderId="8" xfId="0" applyFont="1" applyFill="1" applyBorder="1" applyAlignment="1" applyProtection="1">
      <alignment horizontal="center" vertical="center" shrinkToFit="1"/>
    </xf>
    <xf numFmtId="0" fontId="83" fillId="0" borderId="0" xfId="0" applyFont="1" applyAlignment="1">
      <alignment vertical="center"/>
    </xf>
    <xf numFmtId="0" fontId="29" fillId="0" borderId="13" xfId="0" applyFont="1" applyFill="1" applyBorder="1" applyAlignment="1">
      <alignment horizontal="center" vertical="center"/>
    </xf>
    <xf numFmtId="0" fontId="47" fillId="0" borderId="8" xfId="0" applyFont="1" applyFill="1" applyBorder="1" applyAlignment="1">
      <alignment horizontal="center" vertical="center"/>
    </xf>
    <xf numFmtId="0" fontId="0" fillId="0" borderId="0" xfId="0" applyAlignment="1"/>
    <xf numFmtId="0" fontId="18" fillId="0" borderId="8" xfId="0" applyFont="1" applyFill="1" applyBorder="1" applyAlignment="1" applyProtection="1">
      <alignment horizontal="center" vertical="center" wrapText="1"/>
    </xf>
    <xf numFmtId="1" fontId="35" fillId="0" borderId="9" xfId="0" applyNumberFormat="1" applyFont="1" applyFill="1" applyBorder="1" applyAlignment="1" applyProtection="1">
      <alignment horizontal="center" vertical="center" wrapText="1"/>
    </xf>
    <xf numFmtId="0" fontId="34" fillId="0" borderId="10" xfId="0" applyFont="1" applyFill="1" applyBorder="1" applyAlignment="1" applyProtection="1">
      <alignment horizontal="center" vertical="center" wrapText="1"/>
    </xf>
    <xf numFmtId="1" fontId="35" fillId="0" borderId="8" xfId="0" applyNumberFormat="1" applyFont="1" applyFill="1" applyBorder="1" applyAlignment="1" applyProtection="1">
      <alignment horizontal="center" vertical="center" wrapText="1"/>
    </xf>
    <xf numFmtId="2" fontId="35" fillId="0" borderId="73" xfId="0" applyNumberFormat="1" applyFont="1" applyFill="1" applyBorder="1" applyAlignment="1" applyProtection="1">
      <alignment horizontal="center" vertical="center" wrapText="1"/>
    </xf>
    <xf numFmtId="38" fontId="35" fillId="0" borderId="9" xfId="1" applyFont="1" applyFill="1" applyBorder="1" applyAlignment="1" applyProtection="1">
      <alignment horizontal="center" vertical="center" wrapText="1"/>
    </xf>
    <xf numFmtId="0" fontId="45" fillId="6" borderId="8" xfId="0" applyFont="1" applyFill="1" applyBorder="1" applyAlignment="1" applyProtection="1">
      <alignment horizontal="center" vertical="center"/>
    </xf>
    <xf numFmtId="0" fontId="45" fillId="0" borderId="13" xfId="0" applyFont="1" applyBorder="1" applyAlignment="1" applyProtection="1">
      <alignment horizontal="center" vertical="center"/>
    </xf>
    <xf numFmtId="0" fontId="45" fillId="6" borderId="13" xfId="0" applyFont="1" applyFill="1" applyBorder="1" applyAlignment="1" applyProtection="1">
      <alignment horizontal="center" vertical="center"/>
    </xf>
    <xf numFmtId="2" fontId="35" fillId="9" borderId="8" xfId="0" applyNumberFormat="1" applyFont="1" applyFill="1" applyBorder="1" applyAlignment="1" applyProtection="1">
      <alignment horizontal="center" vertical="center" wrapText="1"/>
    </xf>
    <xf numFmtId="0" fontId="64" fillId="0" borderId="0" xfId="0" applyFont="1" applyAlignment="1">
      <alignment vertical="center"/>
    </xf>
    <xf numFmtId="38" fontId="22" fillId="0" borderId="8" xfId="1" applyFont="1" applyBorder="1" applyAlignment="1">
      <alignment vertical="center"/>
    </xf>
    <xf numFmtId="0" fontId="22" fillId="10" borderId="8" xfId="0" applyFont="1" applyFill="1" applyBorder="1" applyAlignment="1">
      <alignment horizontal="center" vertical="center"/>
    </xf>
    <xf numFmtId="0" fontId="59" fillId="0" borderId="0" xfId="3" applyAlignment="1">
      <alignment vertical="top" wrapText="1"/>
    </xf>
    <xf numFmtId="0" fontId="84" fillId="0" borderId="0" xfId="3" applyFont="1" applyAlignment="1">
      <alignment vertical="top" wrapText="1"/>
    </xf>
    <xf numFmtId="0" fontId="62" fillId="0" borderId="0" xfId="0" applyFont="1" applyAlignment="1">
      <alignment horizontal="center" vertical="center" wrapText="1"/>
    </xf>
    <xf numFmtId="0" fontId="87" fillId="10" borderId="22" xfId="0" applyFont="1" applyFill="1" applyBorder="1" applyAlignment="1">
      <alignment horizontal="center" vertical="center" wrapText="1"/>
    </xf>
    <xf numFmtId="0" fontId="87" fillId="10" borderId="23" xfId="0" applyFont="1" applyFill="1" applyBorder="1" applyAlignment="1">
      <alignment horizontal="center" vertical="center"/>
    </xf>
    <xf numFmtId="0" fontId="87" fillId="10" borderId="24" xfId="0" applyFont="1" applyFill="1" applyBorder="1" applyAlignment="1">
      <alignment horizontal="center" vertical="center"/>
    </xf>
    <xf numFmtId="0" fontId="87" fillId="10" borderId="14" xfId="0" applyFont="1" applyFill="1" applyBorder="1" applyAlignment="1">
      <alignment horizontal="center" vertical="center"/>
    </xf>
    <xf numFmtId="0" fontId="87" fillId="10" borderId="20" xfId="0" applyFont="1" applyFill="1" applyBorder="1" applyAlignment="1">
      <alignment horizontal="center" vertical="center"/>
    </xf>
    <xf numFmtId="0" fontId="87" fillId="10" borderId="25" xfId="0" applyFont="1" applyFill="1" applyBorder="1" applyAlignment="1">
      <alignment horizontal="center" vertical="center"/>
    </xf>
    <xf numFmtId="0" fontId="5" fillId="0" borderId="0" xfId="0" applyFont="1" applyBorder="1" applyAlignment="1" applyProtection="1">
      <alignment vertical="distributed" textRotation="255" indent="3"/>
    </xf>
    <xf numFmtId="0" fontId="6" fillId="0" borderId="0" xfId="0" applyFont="1" applyBorder="1" applyAlignment="1" applyProtection="1">
      <alignment vertical="distributed" textRotation="255" wrapText="1"/>
    </xf>
    <xf numFmtId="0" fontId="6" fillId="0" borderId="0" xfId="0" applyFont="1" applyBorder="1" applyAlignment="1" applyProtection="1">
      <alignment horizontal="center" vertical="center"/>
    </xf>
    <xf numFmtId="0" fontId="7" fillId="4" borderId="0" xfId="0" applyFont="1" applyFill="1" applyBorder="1" applyAlignment="1" applyProtection="1">
      <alignment horizontal="center" vertical="center"/>
      <protection locked="0"/>
    </xf>
    <xf numFmtId="4" fontId="17" fillId="2" borderId="0" xfId="1" applyNumberFormat="1" applyFont="1" applyFill="1" applyBorder="1" applyAlignment="1" applyProtection="1">
      <alignment vertical="center" shrinkToFit="1"/>
    </xf>
    <xf numFmtId="38" fontId="17" fillId="2" borderId="0" xfId="1" applyFont="1" applyFill="1" applyBorder="1" applyAlignment="1" applyProtection="1">
      <alignment vertical="center" shrinkToFit="1"/>
    </xf>
    <xf numFmtId="0" fontId="27" fillId="0" borderId="0" xfId="0" applyFont="1" applyBorder="1" applyAlignment="1" applyProtection="1">
      <alignment vertical="center"/>
    </xf>
    <xf numFmtId="0" fontId="27" fillId="0" borderId="0" xfId="0" quotePrefix="1" applyFont="1" applyBorder="1" applyAlignment="1" applyProtection="1">
      <alignment vertical="center"/>
    </xf>
    <xf numFmtId="0" fontId="31" fillId="0" borderId="0" xfId="0" applyFont="1" applyBorder="1" applyAlignment="1" applyProtection="1">
      <alignment horizontal="center"/>
    </xf>
    <xf numFmtId="0" fontId="66" fillId="0" borderId="0" xfId="0" applyFont="1" applyAlignment="1">
      <alignment vertical="top"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185" fontId="23" fillId="2" borderId="8" xfId="1" applyNumberFormat="1" applyFont="1" applyFill="1" applyBorder="1" applyAlignment="1">
      <alignment vertical="center"/>
    </xf>
    <xf numFmtId="38" fontId="26" fillId="2" borderId="0" xfId="1" applyFont="1" applyFill="1" applyBorder="1" applyAlignment="1" applyProtection="1">
      <alignment horizontal="right" vertical="center" indent="1" shrinkToFit="1"/>
    </xf>
    <xf numFmtId="183" fontId="19" fillId="2" borderId="0" xfId="1" applyNumberFormat="1" applyFont="1" applyFill="1" applyBorder="1" applyAlignment="1" applyProtection="1">
      <alignment horizontal="center" vertical="center" shrinkToFit="1"/>
    </xf>
    <xf numFmtId="0" fontId="28" fillId="0" borderId="0" xfId="0" applyFont="1" applyBorder="1" applyAlignment="1" applyProtection="1">
      <alignment horizontal="left" vertical="center"/>
    </xf>
    <xf numFmtId="0" fontId="28" fillId="0" borderId="0" xfId="0" applyFont="1" applyBorder="1" applyAlignment="1" applyProtection="1">
      <alignment horizontal="center"/>
    </xf>
    <xf numFmtId="0" fontId="47" fillId="3" borderId="8" xfId="0" applyFont="1" applyFill="1" applyBorder="1" applyAlignment="1">
      <alignment horizontal="center" vertical="center"/>
    </xf>
    <xf numFmtId="38" fontId="17" fillId="2" borderId="0" xfId="1" applyFont="1" applyFill="1" applyBorder="1" applyAlignment="1" applyProtection="1">
      <alignment horizontal="right" vertical="center" shrinkToFit="1"/>
    </xf>
    <xf numFmtId="38" fontId="29" fillId="0" borderId="0" xfId="1" applyFont="1" applyFill="1" applyBorder="1" applyAlignment="1" applyProtection="1">
      <alignment horizontal="right" vertical="center" shrinkToFit="1"/>
    </xf>
    <xf numFmtId="0" fontId="76" fillId="0" borderId="0" xfId="0" applyFont="1" applyAlignment="1" applyProtection="1">
      <alignment horizontal="center" vertical="center"/>
    </xf>
    <xf numFmtId="2" fontId="19" fillId="5" borderId="0" xfId="0" applyNumberFormat="1" applyFont="1" applyFill="1" applyBorder="1" applyAlignment="1" applyProtection="1">
      <alignment horizontal="center" vertical="center"/>
      <protection locked="0"/>
    </xf>
    <xf numFmtId="0" fontId="7" fillId="0" borderId="0" xfId="0" applyFont="1" applyAlignment="1" applyProtection="1">
      <alignment horizontal="center" vertical="center"/>
    </xf>
    <xf numFmtId="40" fontId="19" fillId="2" borderId="0" xfId="1" applyNumberFormat="1" applyFont="1" applyFill="1" applyBorder="1" applyAlignment="1" applyProtection="1">
      <alignment horizontal="center" vertical="center"/>
    </xf>
    <xf numFmtId="40" fontId="26" fillId="2" borderId="0" xfId="0" applyNumberFormat="1" applyFont="1" applyFill="1" applyAlignment="1" applyProtection="1">
      <alignment vertical="center"/>
    </xf>
    <xf numFmtId="2" fontId="19" fillId="2" borderId="0" xfId="0" applyNumberFormat="1" applyFont="1" applyFill="1" applyBorder="1" applyAlignment="1" applyProtection="1">
      <alignment horizontal="center" vertical="center"/>
    </xf>
    <xf numFmtId="40" fontId="19" fillId="2" borderId="0" xfId="1" applyNumberFormat="1" applyFont="1" applyFill="1" applyBorder="1" applyAlignment="1" applyProtection="1">
      <alignment horizontal="center" vertical="center" shrinkToFit="1"/>
    </xf>
    <xf numFmtId="38" fontId="7" fillId="0" borderId="0" xfId="1" applyFont="1" applyFill="1" applyBorder="1" applyAlignment="1" applyProtection="1">
      <alignment horizontal="center" vertical="center"/>
    </xf>
    <xf numFmtId="0" fontId="31" fillId="0" borderId="9" xfId="0" applyFont="1" applyFill="1" applyBorder="1" applyAlignment="1">
      <alignment horizontal="center" vertical="center"/>
    </xf>
    <xf numFmtId="0" fontId="31" fillId="0" borderId="10" xfId="0" applyFont="1" applyFill="1" applyBorder="1" applyAlignment="1">
      <alignment horizontal="center" vertical="center"/>
    </xf>
    <xf numFmtId="189" fontId="19" fillId="2" borderId="9" xfId="1" applyNumberFormat="1" applyFont="1" applyFill="1" applyBorder="1" applyAlignment="1">
      <alignment horizontal="center" vertical="center"/>
    </xf>
    <xf numFmtId="189" fontId="19" fillId="2" borderId="10" xfId="1" applyNumberFormat="1" applyFont="1" applyFill="1" applyBorder="1" applyAlignment="1">
      <alignment horizontal="center" vertical="center"/>
    </xf>
    <xf numFmtId="0" fontId="50" fillId="2" borderId="0" xfId="0" applyFont="1" applyFill="1" applyBorder="1" applyAlignment="1" applyProtection="1">
      <alignment horizontal="center" wrapText="1"/>
    </xf>
    <xf numFmtId="40" fontId="26" fillId="2" borderId="0" xfId="1" applyNumberFormat="1" applyFont="1" applyFill="1" applyBorder="1" applyAlignment="1" applyProtection="1">
      <alignment vertical="center" shrinkToFit="1"/>
    </xf>
    <xf numFmtId="0" fontId="19" fillId="2" borderId="0" xfId="0" applyFont="1" applyFill="1" applyBorder="1" applyAlignment="1" applyProtection="1">
      <alignment horizontal="center" vertical="top" shrinkToFit="1"/>
    </xf>
    <xf numFmtId="0" fontId="22" fillId="2" borderId="0" xfId="0" applyFont="1" applyFill="1" applyAlignment="1">
      <alignment horizontal="center" vertical="top" shrinkToFit="1"/>
    </xf>
    <xf numFmtId="38" fontId="26" fillId="2" borderId="0" xfId="1" applyFont="1" applyFill="1" applyBorder="1" applyAlignment="1" applyProtection="1">
      <alignment vertical="center" shrinkToFit="1"/>
    </xf>
    <xf numFmtId="0" fontId="3" fillId="0" borderId="0" xfId="0" applyFont="1" applyFill="1" applyAlignment="1">
      <alignment vertical="top" shrinkToFit="1"/>
    </xf>
    <xf numFmtId="0" fontId="6" fillId="0" borderId="0" xfId="0" applyFont="1" applyBorder="1" applyAlignment="1" applyProtection="1">
      <alignment horizontal="center" vertical="top"/>
    </xf>
    <xf numFmtId="0" fontId="47" fillId="6" borderId="0" xfId="0" applyFont="1" applyFill="1" applyBorder="1" applyAlignment="1">
      <alignment vertical="center"/>
    </xf>
    <xf numFmtId="0" fontId="47" fillId="6" borderId="71" xfId="0" applyFont="1" applyFill="1" applyBorder="1" applyAlignment="1">
      <alignment vertical="center"/>
    </xf>
    <xf numFmtId="0" fontId="47" fillId="6" borderId="0" xfId="0" applyFont="1" applyFill="1" applyBorder="1" applyAlignment="1">
      <alignment horizontal="left" vertical="center"/>
    </xf>
    <xf numFmtId="0" fontId="47" fillId="6" borderId="71" xfId="0" applyFont="1" applyFill="1" applyBorder="1" applyAlignment="1">
      <alignment horizontal="left" vertical="center"/>
    </xf>
    <xf numFmtId="0" fontId="47" fillId="6" borderId="20" xfId="0" applyFont="1" applyFill="1" applyBorder="1" applyAlignment="1">
      <alignment vertical="center"/>
    </xf>
    <xf numFmtId="0" fontId="47" fillId="6" borderId="25" xfId="0" applyFont="1" applyFill="1" applyBorder="1" applyAlignment="1">
      <alignment vertical="center"/>
    </xf>
    <xf numFmtId="181" fontId="50" fillId="5" borderId="9" xfId="0" applyNumberFormat="1" applyFont="1" applyFill="1" applyBorder="1" applyAlignment="1" applyProtection="1">
      <alignment horizontal="right" vertical="center" shrinkToFit="1"/>
      <protection locked="0"/>
    </xf>
    <xf numFmtId="181" fontId="50" fillId="5" borderId="11" xfId="0" applyNumberFormat="1" applyFont="1" applyFill="1" applyBorder="1" applyAlignment="1" applyProtection="1">
      <alignment horizontal="right" vertical="center" shrinkToFit="1"/>
      <protection locked="0"/>
    </xf>
    <xf numFmtId="181" fontId="50" fillId="5" borderId="35" xfId="0" applyNumberFormat="1" applyFont="1" applyFill="1" applyBorder="1" applyAlignment="1" applyProtection="1">
      <alignment horizontal="right" vertical="center" shrinkToFit="1"/>
      <protection locked="0"/>
    </xf>
    <xf numFmtId="181" fontId="50" fillId="5" borderId="36" xfId="0" applyNumberFormat="1" applyFont="1" applyFill="1" applyBorder="1" applyAlignment="1" applyProtection="1">
      <alignment horizontal="right" vertical="center" shrinkToFit="1"/>
      <protection locked="0"/>
    </xf>
    <xf numFmtId="181" fontId="50" fillId="5" borderId="34" xfId="0" applyNumberFormat="1" applyFont="1" applyFill="1" applyBorder="1" applyAlignment="1" applyProtection="1">
      <alignment horizontal="right" vertical="center" shrinkToFit="1"/>
      <protection locked="0"/>
    </xf>
    <xf numFmtId="181" fontId="50" fillId="5" borderId="37" xfId="0" applyNumberFormat="1" applyFont="1" applyFill="1" applyBorder="1" applyAlignment="1" applyProtection="1">
      <alignment horizontal="right" vertical="center" shrinkToFit="1"/>
      <protection locked="0"/>
    </xf>
    <xf numFmtId="181" fontId="50" fillId="5" borderId="32" xfId="0" applyNumberFormat="1" applyFont="1" applyFill="1" applyBorder="1" applyAlignment="1" applyProtection="1">
      <alignment vertical="center"/>
      <protection locked="0"/>
    </xf>
    <xf numFmtId="186" fontId="48" fillId="2" borderId="0" xfId="0" applyNumberFormat="1" applyFont="1" applyFill="1" applyAlignment="1" applyProtection="1">
      <alignment vertical="top"/>
    </xf>
    <xf numFmtId="38" fontId="17" fillId="2" borderId="0" xfId="1" applyFont="1" applyFill="1" applyBorder="1" applyAlignment="1" applyProtection="1">
      <alignment vertical="top" shrinkToFit="1"/>
    </xf>
    <xf numFmtId="187" fontId="48" fillId="2" borderId="0" xfId="0" applyNumberFormat="1" applyFont="1" applyFill="1" applyAlignment="1" applyProtection="1">
      <alignment vertical="top"/>
    </xf>
    <xf numFmtId="0" fontId="28" fillId="0" borderId="0" xfId="0" applyFont="1" applyFill="1" applyBorder="1" applyAlignment="1" applyProtection="1">
      <alignment horizontal="distributed" vertical="center"/>
    </xf>
    <xf numFmtId="2" fontId="17" fillId="2" borderId="0" xfId="0" applyNumberFormat="1" applyFont="1" applyFill="1" applyBorder="1" applyAlignment="1" applyProtection="1">
      <alignment horizontal="right" vertical="center" shrinkToFit="1"/>
    </xf>
    <xf numFmtId="0" fontId="7" fillId="0" borderId="74"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7" fillId="0" borderId="75" xfId="0" applyFont="1" applyFill="1" applyBorder="1" applyAlignment="1" applyProtection="1">
      <alignment horizontal="center" vertical="center"/>
    </xf>
    <xf numFmtId="0" fontId="71" fillId="2" borderId="74" xfId="0" applyFont="1" applyFill="1" applyBorder="1" applyAlignment="1" applyProtection="1">
      <alignment horizontal="center" vertical="center"/>
    </xf>
    <xf numFmtId="0" fontId="71" fillId="2" borderId="16" xfId="0" applyFont="1" applyFill="1" applyBorder="1" applyAlignment="1" applyProtection="1">
      <alignment horizontal="center" vertical="center"/>
    </xf>
    <xf numFmtId="0" fontId="71" fillId="2" borderId="75" xfId="0" applyFont="1" applyFill="1" applyBorder="1" applyAlignment="1" applyProtection="1">
      <alignment horizontal="center" vertical="center"/>
    </xf>
    <xf numFmtId="0" fontId="28" fillId="0" borderId="0" xfId="0" applyFont="1" applyBorder="1" applyAlignment="1" applyProtection="1">
      <alignment horizontal="center" vertical="center"/>
    </xf>
    <xf numFmtId="181" fontId="50" fillId="5" borderId="66" xfId="0" applyNumberFormat="1" applyFont="1" applyFill="1" applyBorder="1" applyAlignment="1" applyProtection="1">
      <alignment vertical="center" shrinkToFit="1"/>
      <protection locked="0"/>
    </xf>
    <xf numFmtId="181" fontId="50" fillId="5" borderId="67" xfId="0" applyNumberFormat="1" applyFont="1" applyFill="1" applyBorder="1" applyAlignment="1" applyProtection="1">
      <alignment vertical="center" shrinkToFit="1"/>
      <protection locked="0"/>
    </xf>
    <xf numFmtId="2" fontId="17" fillId="5" borderId="0" xfId="0" applyNumberFormat="1" applyFont="1" applyFill="1" applyBorder="1" applyAlignment="1" applyProtection="1">
      <alignment horizontal="right" vertical="center" shrinkToFit="1"/>
      <protection locked="0"/>
    </xf>
    <xf numFmtId="177" fontId="20" fillId="0" borderId="0" xfId="0" applyNumberFormat="1" applyFont="1" applyFill="1" applyBorder="1" applyAlignment="1" applyProtection="1">
      <alignment horizontal="center" vertical="center"/>
      <protection locked="0"/>
    </xf>
    <xf numFmtId="38" fontId="25" fillId="2" borderId="0" xfId="1" applyFont="1" applyFill="1" applyBorder="1" applyAlignment="1" applyProtection="1">
      <alignment horizontal="right" vertical="center" shrinkToFit="1"/>
    </xf>
    <xf numFmtId="2" fontId="25" fillId="2" borderId="0" xfId="0" applyNumberFormat="1" applyFont="1" applyFill="1" applyBorder="1" applyAlignment="1" applyProtection="1">
      <alignment horizontal="center" vertical="center"/>
    </xf>
    <xf numFmtId="0" fontId="28" fillId="0" borderId="0" xfId="0" applyFont="1" applyBorder="1" applyAlignment="1" applyProtection="1">
      <alignment horizontal="distributed" vertical="center"/>
    </xf>
    <xf numFmtId="0" fontId="18" fillId="7" borderId="0" xfId="0" applyFont="1" applyFill="1" applyBorder="1" applyAlignment="1" applyProtection="1">
      <alignment horizontal="center" vertical="center" shrinkToFit="1"/>
      <protection locked="0"/>
    </xf>
    <xf numFmtId="0" fontId="47" fillId="2" borderId="8" xfId="0" applyFont="1" applyFill="1" applyBorder="1" applyAlignment="1">
      <alignment vertical="center"/>
    </xf>
    <xf numFmtId="0" fontId="47" fillId="6" borderId="23" xfId="0" applyFont="1" applyFill="1" applyBorder="1" applyAlignment="1">
      <alignment vertical="center"/>
    </xf>
    <xf numFmtId="0" fontId="47" fillId="6" borderId="24" xfId="0" applyFont="1" applyFill="1" applyBorder="1" applyAlignment="1">
      <alignment vertical="center"/>
    </xf>
    <xf numFmtId="2" fontId="25" fillId="2" borderId="0" xfId="0" quotePrefix="1" applyNumberFormat="1" applyFont="1" applyFill="1" applyBorder="1" applyAlignment="1" applyProtection="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0" borderId="0" xfId="0" applyFont="1" applyBorder="1" applyAlignment="1" applyProtection="1">
      <alignment horizontal="distributed" vertical="center"/>
    </xf>
    <xf numFmtId="0" fontId="18" fillId="5" borderId="0" xfId="0" applyFont="1" applyFill="1" applyBorder="1" applyAlignment="1" applyProtection="1">
      <alignment horizontal="center" vertical="center"/>
      <protection locked="0"/>
    </xf>
    <xf numFmtId="2" fontId="17" fillId="5" borderId="0" xfId="1" applyNumberFormat="1" applyFont="1" applyFill="1" applyBorder="1" applyAlignment="1" applyProtection="1">
      <alignment horizontal="right" vertical="center" shrinkToFit="1"/>
      <protection locked="0"/>
    </xf>
    <xf numFmtId="0" fontId="7" fillId="0" borderId="0" xfId="0" applyFont="1" applyBorder="1" applyAlignment="1" applyProtection="1">
      <alignment horizontal="center"/>
    </xf>
    <xf numFmtId="0" fontId="6" fillId="0" borderId="0" xfId="0" applyFont="1" applyBorder="1" applyAlignment="1" applyProtection="1">
      <alignment vertical="center"/>
    </xf>
    <xf numFmtId="38" fontId="26" fillId="2" borderId="0" xfId="1" applyFont="1" applyFill="1" applyBorder="1" applyAlignment="1" applyProtection="1">
      <alignment horizontal="right" vertical="center" indent="1"/>
    </xf>
    <xf numFmtId="0" fontId="29" fillId="0" borderId="0" xfId="0" applyFont="1" applyFill="1" applyBorder="1" applyAlignment="1" applyProtection="1">
      <alignment horizontal="center" vertical="top" shrinkToFit="1"/>
    </xf>
    <xf numFmtId="0" fontId="4" fillId="0" borderId="0" xfId="0" applyFont="1" applyFill="1" applyBorder="1" applyAlignment="1" applyProtection="1">
      <alignment horizontal="center" vertical="top"/>
    </xf>
    <xf numFmtId="0" fontId="4" fillId="0" borderId="0" xfId="0" applyFont="1" applyFill="1" applyBorder="1" applyAlignment="1" applyProtection="1">
      <alignment horizontal="left" vertical="top"/>
    </xf>
    <xf numFmtId="0" fontId="10" fillId="0" borderId="0" xfId="0" applyFont="1" applyFill="1" applyAlignment="1">
      <alignment horizontal="center" vertical="center" wrapText="1"/>
    </xf>
    <xf numFmtId="40" fontId="50" fillId="2" borderId="0" xfId="1" quotePrefix="1" applyNumberFormat="1" applyFont="1" applyFill="1" applyBorder="1" applyAlignment="1" applyProtection="1">
      <alignment horizontal="center" vertical="center"/>
    </xf>
    <xf numFmtId="40" fontId="17" fillId="2" borderId="0" xfId="1" applyNumberFormat="1" applyFont="1" applyFill="1" applyBorder="1" applyAlignment="1" applyProtection="1">
      <alignment horizontal="center" vertical="center"/>
    </xf>
    <xf numFmtId="0" fontId="9" fillId="0" borderId="0" xfId="0" applyFont="1" applyBorder="1" applyAlignment="1" applyProtection="1">
      <alignment horizontal="left" vertical="center"/>
    </xf>
    <xf numFmtId="182" fontId="19" fillId="2" borderId="0" xfId="1" applyNumberFormat="1" applyFont="1" applyFill="1" applyBorder="1" applyAlignment="1" applyProtection="1">
      <alignment horizontal="center" vertical="center"/>
    </xf>
    <xf numFmtId="0" fontId="6" fillId="0" borderId="0" xfId="0" applyFont="1" applyBorder="1" applyAlignment="1" applyProtection="1">
      <alignment horizontal="right" vertical="center"/>
    </xf>
    <xf numFmtId="0" fontId="28" fillId="0" borderId="0" xfId="0" applyFont="1" applyBorder="1" applyAlignment="1" applyProtection="1">
      <alignment horizontal="center" vertical="center" wrapText="1"/>
    </xf>
    <xf numFmtId="0" fontId="31" fillId="0" borderId="0" xfId="0" applyFont="1" applyFill="1" applyBorder="1" applyAlignment="1" applyProtection="1">
      <alignment horizontal="right"/>
    </xf>
    <xf numFmtId="38" fontId="25" fillId="2" borderId="0" xfId="1" applyFont="1" applyFill="1" applyBorder="1" applyAlignment="1" applyProtection="1">
      <alignment vertical="center"/>
    </xf>
    <xf numFmtId="0" fontId="6" fillId="0" borderId="0" xfId="0" applyFont="1" applyBorder="1" applyAlignment="1" applyProtection="1">
      <alignment horizontal="distributed" vertical="center" indent="3"/>
    </xf>
    <xf numFmtId="0" fontId="78" fillId="2" borderId="0" xfId="0" applyFont="1" applyFill="1" applyBorder="1" applyAlignment="1" applyProtection="1">
      <alignment horizontal="right" vertical="center" shrinkToFit="1"/>
    </xf>
    <xf numFmtId="40" fontId="17" fillId="2" borderId="0" xfId="1" applyNumberFormat="1" applyFont="1" applyFill="1" applyBorder="1" applyAlignment="1" applyProtection="1">
      <alignment horizontal="right" vertical="center" shrinkToFit="1"/>
    </xf>
    <xf numFmtId="0" fontId="5" fillId="0" borderId="0" xfId="0" applyFont="1" applyBorder="1" applyAlignment="1" applyProtection="1">
      <alignment horizontal="center" vertical="center"/>
    </xf>
    <xf numFmtId="0" fontId="54" fillId="0" borderId="0" xfId="0" applyFont="1" applyAlignment="1" applyProtection="1">
      <alignment vertical="center"/>
    </xf>
    <xf numFmtId="38" fontId="26" fillId="2" borderId="0" xfId="1" applyFont="1" applyFill="1" applyBorder="1" applyAlignment="1" applyProtection="1">
      <alignment horizontal="right" vertical="center" shrinkToFit="1"/>
    </xf>
    <xf numFmtId="2" fontId="17" fillId="2" borderId="0" xfId="1" applyNumberFormat="1" applyFont="1" applyFill="1" applyBorder="1" applyAlignment="1" applyProtection="1">
      <alignment horizontal="center" vertical="center" shrinkToFit="1"/>
    </xf>
    <xf numFmtId="0" fontId="11"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wrapText="1"/>
    </xf>
    <xf numFmtId="2" fontId="17" fillId="2" borderId="0" xfId="0" applyNumberFormat="1" applyFont="1" applyFill="1" applyBorder="1" applyAlignment="1" applyProtection="1">
      <alignment horizontal="center" vertical="center" shrinkToFit="1"/>
    </xf>
    <xf numFmtId="38" fontId="6" fillId="0" borderId="0" xfId="1" applyFont="1" applyBorder="1" applyAlignment="1" applyProtection="1">
      <alignment horizontal="center" vertical="center"/>
    </xf>
    <xf numFmtId="40" fontId="17" fillId="2" borderId="0" xfId="1" applyNumberFormat="1" applyFont="1" applyFill="1" applyBorder="1" applyAlignment="1" applyProtection="1">
      <alignment horizontal="center" vertical="center" shrinkToFit="1"/>
    </xf>
    <xf numFmtId="0" fontId="28" fillId="0" borderId="0" xfId="0" applyFont="1" applyBorder="1" applyAlignment="1" applyProtection="1">
      <alignment horizontal="center" vertical="center" shrinkToFit="1"/>
    </xf>
    <xf numFmtId="2" fontId="17" fillId="2" borderId="0" xfId="0" quotePrefix="1" applyNumberFormat="1"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17" fillId="2" borderId="0" xfId="1" applyNumberFormat="1" applyFont="1" applyFill="1" applyBorder="1" applyAlignment="1" applyProtection="1">
      <alignment horizontal="center" vertical="center" shrinkToFit="1"/>
    </xf>
    <xf numFmtId="0" fontId="7" fillId="0" borderId="0" xfId="0" applyFont="1" applyFill="1" applyBorder="1" applyAlignment="1" applyProtection="1">
      <alignment horizontal="right" vertical="center"/>
    </xf>
    <xf numFmtId="38" fontId="17" fillId="2" borderId="0" xfId="1" applyFont="1" applyFill="1" applyBorder="1" applyAlignment="1" applyProtection="1">
      <alignment horizontal="center" vertical="center" shrinkToFit="1"/>
    </xf>
    <xf numFmtId="0" fontId="7" fillId="0" borderId="0" xfId="0" applyFont="1" applyBorder="1" applyAlignment="1" applyProtection="1">
      <alignment horizontal="center" vertical="center"/>
    </xf>
    <xf numFmtId="38" fontId="25" fillId="2" borderId="0" xfId="1" applyFont="1" applyFill="1" applyBorder="1" applyAlignment="1" applyProtection="1">
      <alignment horizontal="right" vertical="center" indent="1" shrinkToFit="1"/>
    </xf>
    <xf numFmtId="0" fontId="28" fillId="0" borderId="0" xfId="0" applyFont="1" applyBorder="1" applyAlignment="1" applyProtection="1">
      <alignment horizontal="distributed" vertical="center" wrapText="1"/>
    </xf>
    <xf numFmtId="0" fontId="6" fillId="2" borderId="0" xfId="0" applyFont="1" applyFill="1" applyBorder="1" applyAlignment="1" applyProtection="1">
      <alignment horizontal="center" vertical="center"/>
    </xf>
    <xf numFmtId="0" fontId="7" fillId="0" borderId="0" xfId="0" applyFont="1" applyBorder="1" applyAlignment="1" applyProtection="1">
      <alignment horizontal="distributed" vertical="center" shrinkToFit="1"/>
    </xf>
    <xf numFmtId="0" fontId="52" fillId="0" borderId="0" xfId="0" applyFont="1" applyBorder="1" applyAlignment="1" applyProtection="1">
      <alignment horizontal="center" vertical="center" shrinkToFit="1"/>
    </xf>
    <xf numFmtId="185" fontId="17" fillId="2" borderId="0" xfId="1" applyNumberFormat="1" applyFont="1" applyFill="1" applyBorder="1" applyAlignment="1" applyProtection="1">
      <alignment horizontal="center" vertical="center" shrinkToFit="1"/>
    </xf>
    <xf numFmtId="0" fontId="28" fillId="0" borderId="0" xfId="0" applyFont="1" applyBorder="1" applyAlignment="1" applyProtection="1">
      <alignment vertical="center"/>
    </xf>
    <xf numFmtId="0" fontId="28" fillId="0" borderId="0" xfId="0" applyFont="1" applyBorder="1" applyAlignment="1" applyProtection="1">
      <alignment horizontal="right" vertical="center" shrinkToFit="1"/>
    </xf>
    <xf numFmtId="0" fontId="54" fillId="0" borderId="0" xfId="0" applyFont="1" applyAlignment="1">
      <alignment vertical="center"/>
    </xf>
    <xf numFmtId="0" fontId="29" fillId="0" borderId="0" xfId="0" applyFont="1" applyFill="1" applyBorder="1" applyAlignment="1" applyProtection="1">
      <alignment horizontal="center" shrinkToFit="1"/>
    </xf>
    <xf numFmtId="2" fontId="17" fillId="2" borderId="0" xfId="0" applyNumberFormat="1" applyFont="1" applyFill="1" applyBorder="1" applyAlignment="1" applyProtection="1">
      <alignment horizontal="center" vertical="center"/>
    </xf>
    <xf numFmtId="0" fontId="9" fillId="0" borderId="0" xfId="0" applyFont="1" applyFill="1" applyBorder="1" applyAlignment="1" applyProtection="1">
      <alignment horizontal="right" vertical="center"/>
    </xf>
    <xf numFmtId="38" fontId="28" fillId="0" borderId="0" xfId="1" applyFont="1" applyBorder="1" applyAlignment="1" applyProtection="1">
      <alignment horizontal="center" vertical="center"/>
    </xf>
    <xf numFmtId="176" fontId="17" fillId="2" borderId="0" xfId="0" applyNumberFormat="1"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2" fontId="50" fillId="2" borderId="0" xfId="0" applyNumberFormat="1" applyFont="1" applyFill="1" applyBorder="1" applyAlignment="1" applyProtection="1">
      <alignment horizontal="center" vertical="center"/>
    </xf>
    <xf numFmtId="38" fontId="6" fillId="0" borderId="0" xfId="1" applyFont="1" applyFill="1" applyBorder="1" applyAlignment="1" applyProtection="1">
      <alignment horizontal="center" vertical="center" shrinkToFit="1"/>
    </xf>
    <xf numFmtId="2" fontId="17" fillId="2" borderId="0" xfId="0" applyNumberFormat="1" applyFont="1" applyFill="1" applyBorder="1" applyAlignment="1" applyProtection="1">
      <alignment vertical="center"/>
    </xf>
    <xf numFmtId="0" fontId="28" fillId="0" borderId="0" xfId="0" applyFont="1" applyBorder="1" applyAlignment="1" applyProtection="1">
      <alignment horizontal="right" vertical="center"/>
    </xf>
    <xf numFmtId="38" fontId="17" fillId="2" borderId="0" xfId="1" applyFont="1" applyFill="1" applyBorder="1" applyAlignment="1" applyProtection="1">
      <alignment horizontal="right" vertical="center" indent="1" shrinkToFit="1"/>
    </xf>
    <xf numFmtId="0" fontId="76" fillId="0" borderId="0" xfId="0" applyFont="1" applyAlignment="1">
      <alignment horizontal="center" vertical="center"/>
    </xf>
    <xf numFmtId="0" fontId="7" fillId="0" borderId="0" xfId="0" applyFont="1" applyBorder="1" applyAlignment="1" applyProtection="1">
      <alignment horizontal="right" vertical="center"/>
    </xf>
    <xf numFmtId="38" fontId="6" fillId="0" borderId="0" xfId="1" applyFont="1" applyFill="1" applyBorder="1" applyAlignment="1" applyProtection="1">
      <alignment vertical="center" shrinkToFit="1"/>
    </xf>
    <xf numFmtId="0" fontId="17" fillId="0" borderId="0" xfId="0" applyFont="1" applyBorder="1" applyAlignment="1">
      <alignment horizontal="center" vertical="center"/>
    </xf>
    <xf numFmtId="0" fontId="17" fillId="0" borderId="60" xfId="0" applyFont="1" applyBorder="1" applyAlignment="1">
      <alignment horizontal="center" vertical="center"/>
    </xf>
    <xf numFmtId="0" fontId="50" fillId="5" borderId="26" xfId="0" applyFont="1" applyFill="1" applyBorder="1" applyAlignment="1" applyProtection="1">
      <alignment vertical="center" shrinkToFit="1"/>
      <protection locked="0"/>
    </xf>
    <xf numFmtId="0" fontId="50" fillId="5" borderId="28" xfId="0" applyFont="1" applyFill="1" applyBorder="1" applyAlignment="1" applyProtection="1">
      <alignment vertical="center" shrinkToFit="1"/>
      <protection locked="0"/>
    </xf>
    <xf numFmtId="0" fontId="31" fillId="0" borderId="41" xfId="0" applyFont="1" applyFill="1" applyBorder="1" applyAlignment="1" applyProtection="1">
      <alignment horizontal="center" vertical="center"/>
    </xf>
    <xf numFmtId="0" fontId="31" fillId="0" borderId="42" xfId="0" applyFont="1" applyFill="1" applyBorder="1" applyAlignment="1" applyProtection="1">
      <alignment horizontal="center" vertical="center"/>
    </xf>
    <xf numFmtId="0" fontId="31" fillId="0" borderId="43" xfId="0" applyFont="1" applyFill="1" applyBorder="1" applyAlignment="1" applyProtection="1">
      <alignment horizontal="center" vertical="center"/>
    </xf>
    <xf numFmtId="0" fontId="3" fillId="0" borderId="26" xfId="0" applyFont="1" applyBorder="1" applyAlignment="1">
      <alignment horizontal="center" vertical="center"/>
    </xf>
    <xf numFmtId="0" fontId="3" fillId="0" borderId="46" xfId="0" applyFont="1" applyBorder="1" applyAlignment="1">
      <alignment horizontal="center" vertical="center"/>
    </xf>
    <xf numFmtId="0" fontId="31" fillId="0" borderId="39" xfId="0" applyFont="1" applyBorder="1" applyAlignment="1" applyProtection="1">
      <alignment horizontal="distributed" vertical="center"/>
    </xf>
    <xf numFmtId="0" fontId="31" fillId="0" borderId="13" xfId="0" applyFont="1" applyBorder="1" applyAlignment="1" applyProtection="1">
      <alignment horizontal="distributed" vertical="center"/>
    </xf>
    <xf numFmtId="0" fontId="31" fillId="0" borderId="30" xfId="0" applyFont="1" applyBorder="1" applyAlignment="1" applyProtection="1">
      <alignment horizontal="distributed" vertical="center"/>
    </xf>
    <xf numFmtId="0" fontId="31" fillId="0" borderId="8" xfId="0" applyFont="1" applyBorder="1" applyAlignment="1" applyProtection="1">
      <alignment horizontal="distributed" vertical="center"/>
    </xf>
    <xf numFmtId="181" fontId="54" fillId="0" borderId="62" xfId="0" applyNumberFormat="1" applyFont="1" applyFill="1" applyBorder="1" applyAlignment="1" applyProtection="1">
      <alignment horizontal="center" vertical="center" wrapText="1"/>
    </xf>
    <xf numFmtId="181" fontId="54" fillId="0" borderId="63" xfId="0" applyNumberFormat="1" applyFont="1" applyFill="1" applyBorder="1" applyAlignment="1" applyProtection="1">
      <alignment horizontal="center" vertical="center" wrapText="1"/>
    </xf>
    <xf numFmtId="181" fontId="50" fillId="5" borderId="64" xfId="0" applyNumberFormat="1" applyFont="1" applyFill="1" applyBorder="1" applyAlignment="1" applyProtection="1">
      <alignment vertical="center" shrinkToFit="1"/>
      <protection locked="0"/>
    </xf>
    <xf numFmtId="181" fontId="50" fillId="5" borderId="38" xfId="0" applyNumberFormat="1" applyFont="1" applyFill="1" applyBorder="1" applyAlignment="1" applyProtection="1">
      <alignment vertical="center" shrinkToFit="1"/>
      <protection locked="0"/>
    </xf>
    <xf numFmtId="0" fontId="54" fillId="0" borderId="41" xfId="0" applyFont="1" applyBorder="1" applyAlignment="1" applyProtection="1">
      <alignment horizontal="center" vertical="center" wrapText="1" shrinkToFit="1"/>
    </xf>
    <xf numFmtId="0" fontId="54" fillId="0" borderId="47" xfId="0" applyFont="1" applyBorder="1" applyAlignment="1" applyProtection="1">
      <alignment horizontal="center" vertical="center" wrapText="1" shrinkToFit="1"/>
    </xf>
    <xf numFmtId="3" fontId="50" fillId="0" borderId="68" xfId="0" applyNumberFormat="1" applyFont="1" applyFill="1" applyBorder="1" applyAlignment="1" applyProtection="1">
      <alignment horizontal="center" vertical="center"/>
    </xf>
    <xf numFmtId="3" fontId="50" fillId="0" borderId="69" xfId="0" applyNumberFormat="1" applyFont="1" applyFill="1" applyBorder="1" applyAlignment="1" applyProtection="1">
      <alignment horizontal="center" vertical="center"/>
    </xf>
    <xf numFmtId="3" fontId="50" fillId="5" borderId="9" xfId="0" applyNumberFormat="1" applyFont="1" applyFill="1" applyBorder="1" applyAlignment="1" applyProtection="1">
      <alignment horizontal="center" vertical="center"/>
      <protection locked="0"/>
    </xf>
    <xf numFmtId="3" fontId="50" fillId="5" borderId="10" xfId="0" applyNumberFormat="1" applyFont="1" applyFill="1" applyBorder="1" applyAlignment="1" applyProtection="1">
      <alignment horizontal="center" vertical="center"/>
      <protection locked="0"/>
    </xf>
    <xf numFmtId="181" fontId="54" fillId="0" borderId="48" xfId="0" applyNumberFormat="1" applyFont="1" applyFill="1" applyBorder="1" applyAlignment="1" applyProtection="1">
      <alignment horizontal="center" vertical="center" wrapText="1"/>
    </xf>
    <xf numFmtId="181" fontId="54" fillId="0" borderId="50" xfId="0" applyNumberFormat="1" applyFont="1" applyFill="1" applyBorder="1" applyAlignment="1" applyProtection="1">
      <alignment horizontal="center" vertical="center" wrapText="1"/>
    </xf>
    <xf numFmtId="181" fontId="54" fillId="0" borderId="65" xfId="0" applyNumberFormat="1" applyFont="1" applyFill="1" applyBorder="1" applyAlignment="1" applyProtection="1">
      <alignment horizontal="center" vertical="center" wrapText="1"/>
    </xf>
    <xf numFmtId="2" fontId="50" fillId="5" borderId="48" xfId="0" applyNumberFormat="1" applyFont="1" applyFill="1" applyBorder="1" applyAlignment="1" applyProtection="1">
      <alignment vertical="center"/>
      <protection locked="0"/>
    </xf>
    <xf numFmtId="2" fontId="50" fillId="5" borderId="49" xfId="0" applyNumberFormat="1" applyFont="1" applyFill="1" applyBorder="1" applyAlignment="1" applyProtection="1">
      <alignment vertical="center"/>
      <protection locked="0"/>
    </xf>
    <xf numFmtId="0" fontId="47" fillId="0" borderId="51" xfId="0" applyFont="1" applyFill="1" applyBorder="1" applyAlignment="1" applyProtection="1">
      <alignment horizontal="center" vertical="center"/>
    </xf>
    <xf numFmtId="0" fontId="47" fillId="0" borderId="52" xfId="0" applyFont="1" applyFill="1" applyBorder="1" applyAlignment="1" applyProtection="1">
      <alignment horizontal="center" vertical="center"/>
    </xf>
    <xf numFmtId="0" fontId="54" fillId="0" borderId="41" xfId="0" applyFont="1" applyFill="1" applyBorder="1" applyAlignment="1" applyProtection="1">
      <alignment horizontal="center" vertical="center" wrapText="1" shrinkToFit="1"/>
    </xf>
    <xf numFmtId="0" fontId="54" fillId="0" borderId="42" xfId="0" applyFont="1" applyFill="1" applyBorder="1" applyAlignment="1" applyProtection="1">
      <alignment horizontal="center" vertical="center" shrinkToFit="1"/>
    </xf>
    <xf numFmtId="38" fontId="53" fillId="2" borderId="14" xfId="1" applyFont="1" applyFill="1" applyBorder="1" applyAlignment="1" applyProtection="1">
      <alignment vertical="center"/>
    </xf>
    <xf numFmtId="38" fontId="53" fillId="2" borderId="20" xfId="1" applyFont="1" applyFill="1" applyBorder="1" applyAlignment="1" applyProtection="1">
      <alignment vertical="center"/>
    </xf>
    <xf numFmtId="38" fontId="53" fillId="2" borderId="25" xfId="1" applyFont="1" applyFill="1" applyBorder="1" applyAlignment="1" applyProtection="1">
      <alignment vertical="center"/>
    </xf>
    <xf numFmtId="38" fontId="53" fillId="2" borderId="9" xfId="1" applyFont="1" applyFill="1" applyBorder="1" applyAlignment="1" applyProtection="1">
      <alignment vertical="center"/>
    </xf>
    <xf numFmtId="38" fontId="53" fillId="2" borderId="11" xfId="1" applyFont="1" applyFill="1" applyBorder="1" applyAlignment="1" applyProtection="1">
      <alignment vertical="center"/>
    </xf>
    <xf numFmtId="38" fontId="53" fillId="2" borderId="10" xfId="1" applyFont="1" applyFill="1" applyBorder="1" applyAlignment="1" applyProtection="1">
      <alignment vertical="center"/>
    </xf>
    <xf numFmtId="0" fontId="50" fillId="5" borderId="46" xfId="0" applyFont="1" applyFill="1" applyBorder="1" applyAlignment="1" applyProtection="1">
      <alignment vertical="center" shrinkToFit="1"/>
      <protection locked="0"/>
    </xf>
    <xf numFmtId="0" fontId="3" fillId="0" borderId="26" xfId="0" applyFont="1" applyBorder="1" applyAlignment="1" applyProtection="1">
      <alignment horizontal="center" vertical="center"/>
    </xf>
    <xf numFmtId="0" fontId="3" fillId="0" borderId="46" xfId="0" applyFont="1" applyBorder="1" applyAlignment="1" applyProtection="1">
      <alignment horizontal="center" vertical="center"/>
    </xf>
    <xf numFmtId="40" fontId="50" fillId="5" borderId="26" xfId="1" applyNumberFormat="1" applyFont="1" applyFill="1" applyBorder="1" applyAlignment="1" applyProtection="1">
      <alignment vertical="center"/>
      <protection locked="0"/>
    </xf>
    <xf numFmtId="40" fontId="50" fillId="5" borderId="28" xfId="1" applyNumberFormat="1" applyFont="1" applyFill="1" applyBorder="1" applyAlignment="1" applyProtection="1">
      <alignment vertical="center"/>
      <protection locked="0"/>
    </xf>
    <xf numFmtId="40" fontId="50" fillId="5" borderId="46" xfId="1" applyNumberFormat="1" applyFont="1" applyFill="1" applyBorder="1" applyAlignment="1" applyProtection="1">
      <alignment vertical="center"/>
      <protection locked="0"/>
    </xf>
    <xf numFmtId="0" fontId="3" fillId="7" borderId="28" xfId="0" applyFont="1" applyFill="1" applyBorder="1" applyAlignment="1" applyProtection="1">
      <alignment horizontal="center" vertical="center" shrinkToFit="1"/>
      <protection locked="0"/>
    </xf>
    <xf numFmtId="0" fontId="3" fillId="7" borderId="27"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0" fontId="3" fillId="0" borderId="46" xfId="0" applyFont="1" applyFill="1" applyBorder="1" applyAlignment="1" applyProtection="1">
      <alignment horizontal="center" vertical="center"/>
    </xf>
    <xf numFmtId="0" fontId="31" fillId="0" borderId="31" xfId="0" applyFont="1" applyBorder="1" applyAlignment="1" applyProtection="1">
      <alignment horizontal="distributed" vertical="center"/>
    </xf>
    <xf numFmtId="0" fontId="31" fillId="0" borderId="32" xfId="0" applyFont="1" applyBorder="1" applyAlignment="1" applyProtection="1">
      <alignment horizontal="distributed" vertical="center"/>
    </xf>
    <xf numFmtId="0" fontId="3" fillId="0" borderId="44" xfId="0" applyFont="1" applyBorder="1" applyAlignment="1" applyProtection="1">
      <alignment horizontal="center" vertical="center"/>
    </xf>
    <xf numFmtId="0" fontId="3" fillId="0" borderId="45" xfId="0" applyFont="1" applyBorder="1" applyAlignment="1" applyProtection="1">
      <alignment horizontal="center" vertical="center"/>
    </xf>
    <xf numFmtId="3" fontId="53" fillId="5" borderId="13" xfId="0" applyNumberFormat="1" applyFont="1" applyFill="1" applyBorder="1" applyAlignment="1" applyProtection="1">
      <alignment vertical="center"/>
      <protection locked="0"/>
    </xf>
    <xf numFmtId="3" fontId="53" fillId="5" borderId="8" xfId="0" applyNumberFormat="1" applyFont="1" applyFill="1" applyBorder="1" applyAlignment="1" applyProtection="1">
      <alignment vertical="center"/>
      <protection locked="0"/>
    </xf>
    <xf numFmtId="3" fontId="53" fillId="5" borderId="32" xfId="0" applyNumberFormat="1" applyFont="1" applyFill="1" applyBorder="1" applyAlignment="1" applyProtection="1">
      <alignment vertical="center"/>
      <protection locked="0"/>
    </xf>
    <xf numFmtId="0" fontId="3" fillId="0" borderId="40" xfId="0" applyFont="1" applyBorder="1" applyAlignment="1" applyProtection="1">
      <alignment horizontal="center" vertical="center"/>
    </xf>
    <xf numFmtId="0" fontId="31" fillId="0" borderId="41" xfId="0" applyFont="1" applyBorder="1" applyAlignment="1" applyProtection="1">
      <alignment horizontal="center" vertical="center"/>
    </xf>
    <xf numFmtId="0" fontId="31" fillId="0" borderId="47" xfId="0" applyFont="1" applyBorder="1" applyAlignment="1" applyProtection="1">
      <alignment horizontal="center" vertical="center"/>
    </xf>
    <xf numFmtId="3" fontId="50" fillId="0" borderId="53" xfId="0" applyNumberFormat="1" applyFont="1" applyFill="1" applyBorder="1" applyAlignment="1" applyProtection="1">
      <alignment horizontal="center" vertical="center"/>
    </xf>
    <xf numFmtId="3" fontId="50" fillId="0" borderId="54" xfId="0" applyNumberFormat="1" applyFont="1" applyFill="1" applyBorder="1" applyAlignment="1" applyProtection="1">
      <alignment horizontal="center" vertical="center"/>
    </xf>
    <xf numFmtId="38" fontId="53" fillId="2" borderId="36" xfId="1" applyFont="1" applyFill="1" applyBorder="1" applyAlignment="1" applyProtection="1">
      <alignment vertical="center"/>
    </xf>
    <xf numFmtId="38" fontId="53" fillId="2" borderId="34" xfId="1" applyFont="1" applyFill="1" applyBorder="1" applyAlignment="1" applyProtection="1">
      <alignment vertical="center"/>
    </xf>
    <xf numFmtId="38" fontId="53" fillId="2" borderId="33" xfId="1" applyFont="1" applyFill="1" applyBorder="1" applyAlignment="1" applyProtection="1">
      <alignment vertical="center"/>
    </xf>
    <xf numFmtId="0" fontId="31" fillId="7" borderId="13" xfId="0" applyFont="1" applyFill="1" applyBorder="1" applyAlignment="1" applyProtection="1">
      <alignment horizontal="center" vertical="center" shrinkToFit="1"/>
      <protection locked="0"/>
    </xf>
    <xf numFmtId="0" fontId="31" fillId="0" borderId="47" xfId="0" applyFont="1" applyFill="1" applyBorder="1" applyAlignment="1" applyProtection="1">
      <alignment horizontal="center" vertical="center"/>
    </xf>
    <xf numFmtId="0" fontId="31" fillId="0" borderId="40" xfId="0" applyFont="1" applyFill="1" applyBorder="1" applyAlignment="1" applyProtection="1">
      <alignment horizontal="center" vertical="center"/>
    </xf>
    <xf numFmtId="181" fontId="50" fillId="5" borderId="50" xfId="0" applyNumberFormat="1" applyFont="1" applyFill="1" applyBorder="1" applyAlignment="1" applyProtection="1">
      <alignment vertical="center"/>
      <protection locked="0"/>
    </xf>
    <xf numFmtId="181" fontId="50" fillId="5" borderId="49" xfId="0" applyNumberFormat="1" applyFont="1" applyFill="1" applyBorder="1" applyAlignment="1" applyProtection="1">
      <alignment vertical="center"/>
      <protection locked="0"/>
    </xf>
    <xf numFmtId="181" fontId="50" fillId="5" borderId="8" xfId="0" applyNumberFormat="1" applyFont="1" applyFill="1" applyBorder="1" applyAlignment="1" applyProtection="1">
      <alignment vertical="center"/>
      <protection locked="0"/>
    </xf>
    <xf numFmtId="38" fontId="6" fillId="0" borderId="0" xfId="1" applyFont="1" applyBorder="1" applyAlignment="1" applyProtection="1">
      <alignment horizontal="distributed" vertical="center" indent="4"/>
    </xf>
    <xf numFmtId="0" fontId="31" fillId="7" borderId="8" xfId="0" applyFont="1" applyFill="1" applyBorder="1" applyAlignment="1" applyProtection="1">
      <alignment horizontal="center" vertical="center" shrinkToFit="1"/>
      <protection locked="0"/>
    </xf>
    <xf numFmtId="0" fontId="31" fillId="7" borderId="32" xfId="0" applyFont="1" applyFill="1" applyBorder="1" applyAlignment="1" applyProtection="1">
      <alignment horizontal="center" vertical="center" shrinkToFit="1"/>
      <protection locked="0"/>
    </xf>
    <xf numFmtId="0" fontId="3" fillId="0" borderId="40" xfId="0" applyFont="1" applyFill="1" applyBorder="1" applyAlignment="1" applyProtection="1">
      <alignment horizontal="center" vertical="center"/>
    </xf>
    <xf numFmtId="0" fontId="18" fillId="4" borderId="0" xfId="0" applyFont="1" applyFill="1" applyAlignment="1" applyProtection="1">
      <alignment horizontal="center" vertical="center" shrinkToFit="1"/>
      <protection locked="0"/>
    </xf>
    <xf numFmtId="0" fontId="18" fillId="4" borderId="0" xfId="0" applyFont="1" applyFill="1" applyBorder="1" applyAlignment="1" applyProtection="1">
      <alignment horizontal="center" vertical="center" shrinkToFit="1"/>
      <protection locked="0"/>
    </xf>
    <xf numFmtId="0" fontId="6" fillId="0" borderId="0" xfId="0" applyFont="1" applyBorder="1" applyAlignment="1" applyProtection="1">
      <alignment horizontal="distributed" vertical="center"/>
    </xf>
    <xf numFmtId="0" fontId="47" fillId="0" borderId="53" xfId="0" applyFont="1" applyFill="1" applyBorder="1" applyAlignment="1" applyProtection="1">
      <alignment horizontal="center" vertical="center"/>
    </xf>
    <xf numFmtId="0" fontId="47" fillId="0" borderId="54" xfId="0" applyFont="1" applyFill="1" applyBorder="1" applyAlignment="1" applyProtection="1">
      <alignment horizontal="center" vertical="center"/>
    </xf>
    <xf numFmtId="0" fontId="3" fillId="7" borderId="26" xfId="0" applyFont="1" applyFill="1" applyBorder="1" applyAlignment="1" applyProtection="1">
      <alignment horizontal="center" vertical="center"/>
      <protection locked="0"/>
    </xf>
    <xf numFmtId="0" fontId="3" fillId="7" borderId="46" xfId="0" applyFont="1" applyFill="1" applyBorder="1" applyAlignment="1" applyProtection="1">
      <alignment horizontal="center" vertical="center"/>
      <protection locked="0"/>
    </xf>
    <xf numFmtId="0" fontId="18" fillId="5" borderId="0" xfId="0" applyFont="1" applyFill="1" applyBorder="1" applyAlignment="1" applyProtection="1">
      <alignment vertical="center" shrinkToFit="1"/>
      <protection locked="0"/>
    </xf>
    <xf numFmtId="0" fontId="30" fillId="4" borderId="0" xfId="0" applyFont="1" applyFill="1" applyAlignment="1" applyProtection="1">
      <alignment horizontal="center" vertical="top"/>
      <protection locked="0"/>
    </xf>
    <xf numFmtId="0" fontId="6" fillId="0" borderId="0" xfId="0" applyFont="1" applyBorder="1" applyAlignment="1" applyProtection="1">
      <alignment vertical="distributed" textRotation="255"/>
    </xf>
    <xf numFmtId="0" fontId="7" fillId="0" borderId="0" xfId="0" applyFont="1" applyBorder="1" applyAlignment="1" applyProtection="1">
      <alignment horizontal="distributed"/>
    </xf>
    <xf numFmtId="0" fontId="7" fillId="0" borderId="0" xfId="0" applyFont="1" applyBorder="1" applyAlignment="1" applyProtection="1">
      <alignment vertical="center" shrinkToFit="1"/>
    </xf>
    <xf numFmtId="0" fontId="7" fillId="4" borderId="0" xfId="0" applyFont="1" applyFill="1" applyBorder="1" applyAlignment="1" applyProtection="1">
      <alignment horizontal="center" vertical="center" wrapText="1"/>
      <protection locked="0"/>
    </xf>
    <xf numFmtId="0" fontId="6" fillId="0" borderId="0" xfId="0" applyFont="1" applyBorder="1" applyAlignment="1" applyProtection="1">
      <alignment vertical="center" textRotation="255"/>
    </xf>
    <xf numFmtId="0" fontId="6" fillId="0" borderId="0" xfId="0" applyFont="1" applyBorder="1" applyAlignment="1" applyProtection="1">
      <alignment horizontal="center" vertical="center" textRotation="255"/>
    </xf>
    <xf numFmtId="0" fontId="6" fillId="0" borderId="0" xfId="0" applyFont="1" applyBorder="1" applyAlignment="1" applyProtection="1">
      <alignment horizontal="center" vertical="center" textRotation="255" shrinkToFit="1"/>
    </xf>
    <xf numFmtId="0" fontId="82" fillId="4" borderId="0" xfId="0" applyFont="1" applyFill="1" applyBorder="1" applyAlignment="1" applyProtection="1">
      <alignment vertical="center" wrapText="1" shrinkToFit="1"/>
      <protection locked="0"/>
    </xf>
    <xf numFmtId="2" fontId="50" fillId="2" borderId="0" xfId="0" applyNumberFormat="1" applyFont="1" applyFill="1" applyBorder="1" applyAlignment="1" applyProtection="1">
      <alignment horizontal="center" vertical="center" shrinkToFit="1"/>
    </xf>
    <xf numFmtId="0" fontId="6" fillId="0" borderId="2" xfId="0" applyFont="1" applyBorder="1" applyAlignment="1" applyProtection="1">
      <alignment horizontal="center" vertical="center"/>
    </xf>
    <xf numFmtId="0" fontId="10" fillId="0" borderId="0" xfId="0" applyFont="1" applyBorder="1" applyAlignment="1" applyProtection="1">
      <alignment horizontal="center" vertical="center"/>
    </xf>
    <xf numFmtId="40" fontId="19" fillId="2" borderId="2" xfId="1" applyNumberFormat="1" applyFont="1" applyFill="1" applyBorder="1" applyAlignment="1" applyProtection="1">
      <alignment horizontal="right" vertical="center" shrinkToFit="1"/>
      <protection locked="0"/>
    </xf>
    <xf numFmtId="0" fontId="10" fillId="0" borderId="4" xfId="0" applyFont="1" applyBorder="1" applyAlignment="1" applyProtection="1">
      <alignment horizontal="center" vertical="center"/>
    </xf>
    <xf numFmtId="38" fontId="25" fillId="2" borderId="0" xfId="1" applyFont="1" applyFill="1" applyBorder="1" applyAlignment="1" applyProtection="1">
      <alignment horizontal="right" vertical="center" shrinkToFit="1"/>
      <protection locked="0"/>
    </xf>
    <xf numFmtId="38" fontId="25" fillId="2" borderId="2" xfId="1" applyFont="1" applyFill="1" applyBorder="1" applyAlignment="1" applyProtection="1">
      <alignment horizontal="right" vertical="center" shrinkToFit="1"/>
      <protection locked="0"/>
    </xf>
    <xf numFmtId="0" fontId="8" fillId="3" borderId="22"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25" xfId="0" applyFont="1" applyFill="1" applyBorder="1" applyAlignment="1">
      <alignment horizontal="center" vertical="center"/>
    </xf>
    <xf numFmtId="0" fontId="16" fillId="4" borderId="0" xfId="0" applyFont="1" applyFill="1" applyBorder="1" applyAlignment="1" applyProtection="1">
      <alignment horizontal="center" vertical="center" textRotation="255" shrinkToFit="1"/>
      <protection locked="0"/>
    </xf>
    <xf numFmtId="38" fontId="17" fillId="2" borderId="7" xfId="1" applyFont="1" applyFill="1" applyBorder="1" applyAlignment="1" applyProtection="1">
      <alignment horizontal="right" vertical="center" shrinkToFit="1"/>
    </xf>
    <xf numFmtId="38" fontId="17" fillId="2" borderId="15" xfId="1" applyFont="1" applyFill="1" applyBorder="1" applyAlignment="1" applyProtection="1">
      <alignment horizontal="right" vertical="center" shrinkToFit="1"/>
    </xf>
    <xf numFmtId="38" fontId="17" fillId="2" borderId="2" xfId="1" applyFont="1" applyFill="1" applyBorder="1" applyAlignment="1" applyProtection="1">
      <alignment horizontal="right" vertical="center" shrinkToFit="1"/>
    </xf>
    <xf numFmtId="0" fontId="25" fillId="5" borderId="0" xfId="0" applyFont="1" applyFill="1" applyBorder="1" applyAlignment="1" applyProtection="1">
      <alignment horizontal="center" vertical="center"/>
      <protection locked="0"/>
    </xf>
    <xf numFmtId="0" fontId="25" fillId="5" borderId="2" xfId="0" applyFont="1" applyFill="1" applyBorder="1" applyAlignment="1" applyProtection="1">
      <alignment horizontal="center" vertical="center"/>
      <protection locked="0"/>
    </xf>
    <xf numFmtId="0" fontId="6" fillId="0" borderId="5" xfId="0" applyFont="1" applyBorder="1" applyAlignment="1" applyProtection="1">
      <alignment horizontal="center" vertical="center"/>
    </xf>
    <xf numFmtId="0" fontId="6" fillId="0" borderId="4" xfId="0" applyFont="1" applyBorder="1" applyAlignment="1" applyProtection="1">
      <alignment horizontal="center" vertical="center"/>
    </xf>
    <xf numFmtId="0" fontId="5" fillId="0" borderId="2" xfId="0" applyFont="1" applyBorder="1" applyAlignment="1" applyProtection="1">
      <alignment horizontal="center" vertical="center"/>
    </xf>
    <xf numFmtId="0" fontId="6" fillId="0" borderId="4" xfId="0" applyFont="1" applyBorder="1" applyAlignment="1" applyProtection="1">
      <alignment horizontal="left" vertical="center"/>
    </xf>
    <xf numFmtId="0" fontId="6" fillId="0" borderId="7"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2" xfId="0" applyFont="1" applyBorder="1" applyAlignment="1" applyProtection="1">
      <alignment horizontal="distributed" vertical="center"/>
    </xf>
    <xf numFmtId="38" fontId="26" fillId="0" borderId="0" xfId="1" quotePrefix="1" applyFont="1" applyBorder="1" applyAlignment="1" applyProtection="1">
      <alignment horizontal="right" vertical="center" shrinkToFit="1"/>
      <protection locked="0"/>
    </xf>
    <xf numFmtId="38" fontId="26" fillId="0" borderId="0" xfId="1" applyFont="1" applyBorder="1" applyAlignment="1" applyProtection="1">
      <alignment horizontal="right" vertical="center" shrinkToFit="1"/>
      <protection locked="0"/>
    </xf>
    <xf numFmtId="0" fontId="5" fillId="0" borderId="7" xfId="0" applyFont="1" applyBorder="1" applyAlignment="1" applyProtection="1">
      <alignment horizontal="left" vertical="center"/>
    </xf>
    <xf numFmtId="0" fontId="5" fillId="0" borderId="0" xfId="0" applyFont="1" applyBorder="1" applyAlignment="1" applyProtection="1">
      <alignment horizontal="left" vertical="center"/>
    </xf>
    <xf numFmtId="0" fontId="4" fillId="0" borderId="4" xfId="0" applyFont="1" applyBorder="1" applyAlignment="1" applyProtection="1">
      <alignment horizontal="right" vertical="center"/>
    </xf>
    <xf numFmtId="0" fontId="4" fillId="0" borderId="0" xfId="0" applyFont="1" applyBorder="1" applyAlignment="1" applyProtection="1">
      <alignment horizontal="right" vertical="center"/>
    </xf>
    <xf numFmtId="0" fontId="5" fillId="0" borderId="15" xfId="0" applyFont="1" applyBorder="1" applyAlignment="1" applyProtection="1">
      <alignment horizontal="center" vertical="center"/>
    </xf>
    <xf numFmtId="0" fontId="5" fillId="0" borderId="3" xfId="0" applyFont="1" applyBorder="1" applyAlignment="1" applyProtection="1">
      <alignment horizontal="center" vertical="center"/>
    </xf>
    <xf numFmtId="181" fontId="19" fillId="5" borderId="16" xfId="0" applyNumberFormat="1" applyFont="1" applyFill="1" applyBorder="1" applyAlignment="1" applyProtection="1">
      <alignment horizontal="right" vertical="center" shrinkToFit="1"/>
      <protection locked="0"/>
    </xf>
    <xf numFmtId="38" fontId="19" fillId="0" borderId="0" xfId="1" applyFont="1" applyBorder="1" applyAlignment="1" applyProtection="1">
      <alignment horizontal="center" vertical="center" shrinkToFit="1"/>
      <protection locked="0"/>
    </xf>
    <xf numFmtId="38" fontId="17" fillId="0" borderId="0" xfId="1" applyFont="1" applyBorder="1" applyAlignment="1" applyProtection="1">
      <alignment horizontal="center" vertical="center" shrinkToFit="1"/>
      <protection locked="0"/>
    </xf>
    <xf numFmtId="0" fontId="7" fillId="0" borderId="0" xfId="0" applyFont="1" applyBorder="1" applyAlignment="1" applyProtection="1">
      <alignment horizontal="distributed" vertical="center" wrapText="1"/>
    </xf>
    <xf numFmtId="0" fontId="7" fillId="0" borderId="1" xfId="0" applyFont="1" applyBorder="1" applyAlignment="1" applyProtection="1">
      <alignment horizontal="distributed" vertical="center" wrapText="1"/>
    </xf>
    <xf numFmtId="0" fontId="4" fillId="0" borderId="0" xfId="0" applyFont="1" applyBorder="1" applyAlignment="1" applyProtection="1">
      <alignment horizontal="center" vertical="center"/>
    </xf>
    <xf numFmtId="0" fontId="6" fillId="0" borderId="0" xfId="0" applyFont="1" applyBorder="1" applyAlignment="1" applyProtection="1">
      <alignment horizontal="center" vertical="distributed" textRotation="255" shrinkToFit="1"/>
    </xf>
    <xf numFmtId="0" fontId="5" fillId="0" borderId="7" xfId="0" applyFont="1" applyBorder="1" applyAlignment="1" applyProtection="1">
      <alignment vertical="center"/>
    </xf>
    <xf numFmtId="0" fontId="5" fillId="0" borderId="0" xfId="0" applyFont="1" applyBorder="1" applyAlignment="1" applyProtection="1">
      <alignment vertical="center"/>
    </xf>
    <xf numFmtId="38" fontId="26" fillId="2" borderId="2" xfId="1" applyFont="1" applyFill="1" applyBorder="1" applyAlignment="1" applyProtection="1">
      <alignment horizontal="right" vertical="center" shrinkToFit="1"/>
    </xf>
    <xf numFmtId="38" fontId="17" fillId="0" borderId="0" xfId="1" applyFont="1" applyBorder="1" applyAlignment="1" applyProtection="1">
      <alignment horizontal="right" vertical="center" shrinkToFit="1"/>
      <protection locked="0"/>
    </xf>
    <xf numFmtId="0" fontId="6" fillId="0" borderId="7" xfId="0" applyFont="1" applyBorder="1" applyAlignment="1" applyProtection="1">
      <alignment horizontal="center" vertical="center"/>
    </xf>
    <xf numFmtId="0" fontId="6" fillId="0" borderId="0" xfId="0" applyFont="1" applyBorder="1" applyAlignment="1" applyProtection="1">
      <alignment horizontal="distributed" vertical="center" indent="1"/>
    </xf>
    <xf numFmtId="0" fontId="7" fillId="0" borderId="7" xfId="0" applyFont="1" applyBorder="1" applyAlignment="1" applyProtection="1">
      <alignment horizontal="right" vertical="center"/>
    </xf>
    <xf numFmtId="0" fontId="4" fillId="0" borderId="4" xfId="0" applyFont="1" applyBorder="1" applyAlignment="1" applyProtection="1">
      <alignment vertical="center"/>
    </xf>
    <xf numFmtId="0" fontId="4" fillId="0" borderId="0" xfId="0" applyFont="1" applyBorder="1" applyAlignment="1" applyProtection="1">
      <alignment vertical="center"/>
    </xf>
    <xf numFmtId="40" fontId="17" fillId="2" borderId="2" xfId="1" applyNumberFormat="1" applyFont="1" applyFill="1" applyBorder="1" applyAlignment="1" applyProtection="1">
      <alignment horizontal="center" vertical="center" shrinkToFit="1"/>
    </xf>
    <xf numFmtId="40" fontId="19" fillId="5" borderId="0" xfId="1" applyNumberFormat="1" applyFont="1" applyFill="1" applyBorder="1" applyAlignment="1" applyProtection="1">
      <alignment horizontal="right" vertical="center" shrinkToFit="1"/>
      <protection locked="0"/>
    </xf>
    <xf numFmtId="0" fontId="17" fillId="2" borderId="2" xfId="0" applyNumberFormat="1" applyFont="1" applyFill="1" applyBorder="1" applyAlignment="1" applyProtection="1">
      <alignment horizontal="left" vertical="center" indent="1" shrinkToFit="1"/>
    </xf>
    <xf numFmtId="2" fontId="25" fillId="2" borderId="0" xfId="0" applyNumberFormat="1" applyFont="1" applyFill="1" applyBorder="1" applyAlignment="1" applyProtection="1">
      <alignment horizontal="center" vertical="center" shrinkToFit="1"/>
    </xf>
    <xf numFmtId="38" fontId="26" fillId="2" borderId="0" xfId="1" applyFont="1" applyFill="1" applyBorder="1" applyAlignment="1" applyProtection="1">
      <alignment horizontal="right" vertical="center" shrinkToFit="1"/>
      <protection locked="0"/>
    </xf>
    <xf numFmtId="38" fontId="26" fillId="2" borderId="2" xfId="1" applyFont="1" applyFill="1" applyBorder="1" applyAlignment="1" applyProtection="1">
      <alignment horizontal="right" vertical="center" shrinkToFit="1"/>
      <protection locked="0"/>
    </xf>
    <xf numFmtId="0" fontId="6" fillId="0" borderId="0" xfId="0" applyFont="1" applyBorder="1" applyAlignment="1" applyProtection="1">
      <alignment horizontal="distributed" vertical="center" wrapText="1"/>
    </xf>
    <xf numFmtId="0" fontId="6" fillId="0" borderId="1" xfId="0" applyFont="1" applyBorder="1" applyAlignment="1" applyProtection="1">
      <alignment horizontal="distributed" vertical="center" wrapText="1"/>
    </xf>
    <xf numFmtId="0" fontId="6" fillId="0" borderId="2" xfId="0" applyFont="1" applyBorder="1" applyAlignment="1" applyProtection="1">
      <alignment horizontal="distributed" vertical="center" wrapText="1"/>
    </xf>
    <xf numFmtId="0" fontId="6" fillId="0" borderId="3" xfId="0" applyFont="1" applyBorder="1" applyAlignment="1" applyProtection="1">
      <alignment horizontal="distributed" vertical="center" wrapText="1"/>
    </xf>
    <xf numFmtId="181" fontId="19" fillId="5" borderId="0" xfId="0" applyNumberFormat="1" applyFont="1" applyFill="1" applyBorder="1" applyAlignment="1" applyProtection="1">
      <alignment horizontal="right" vertical="center" shrinkToFit="1"/>
      <protection locked="0"/>
    </xf>
    <xf numFmtId="0" fontId="6" fillId="0" borderId="4" xfId="0" applyFont="1" applyBorder="1" applyAlignment="1" applyProtection="1">
      <alignment horizontal="center" vertical="center" textRotation="255" shrinkToFit="1"/>
    </xf>
    <xf numFmtId="0" fontId="6" fillId="0" borderId="15" xfId="0" applyFont="1" applyBorder="1" applyAlignment="1" applyProtection="1">
      <alignment horizontal="center" vertical="center"/>
    </xf>
    <xf numFmtId="0" fontId="6" fillId="0" borderId="3"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7" fillId="0" borderId="5" xfId="0" applyFont="1" applyBorder="1" applyAlignment="1" applyProtection="1">
      <alignment horizontal="center" vertical="distributed" textRotation="255" shrinkToFit="1"/>
    </xf>
    <xf numFmtId="0" fontId="7" fillId="0" borderId="4" xfId="0" applyFont="1" applyBorder="1" applyAlignment="1" applyProtection="1">
      <alignment horizontal="center" vertical="distributed" textRotation="255" shrinkToFit="1"/>
    </xf>
    <xf numFmtId="0" fontId="7" fillId="0" borderId="6" xfId="0" applyFont="1" applyBorder="1" applyAlignment="1" applyProtection="1">
      <alignment horizontal="center" vertical="distributed" textRotation="255" shrinkToFit="1"/>
    </xf>
    <xf numFmtId="0" fontId="7" fillId="0" borderId="7" xfId="0" applyFont="1" applyBorder="1" applyAlignment="1" applyProtection="1">
      <alignment horizontal="center" vertical="distributed" textRotation="255" shrinkToFit="1"/>
    </xf>
    <xf numFmtId="0" fontId="7" fillId="0" borderId="0" xfId="0" applyFont="1" applyBorder="1" applyAlignment="1" applyProtection="1">
      <alignment horizontal="center" vertical="distributed" textRotation="255" shrinkToFit="1"/>
    </xf>
    <xf numFmtId="0" fontId="7" fillId="0" borderId="1" xfId="0" applyFont="1" applyBorder="1" applyAlignment="1" applyProtection="1">
      <alignment horizontal="center" vertical="distributed" textRotation="255" shrinkToFit="1"/>
    </xf>
    <xf numFmtId="0" fontId="7" fillId="0" borderId="15" xfId="0" applyFont="1" applyBorder="1" applyAlignment="1" applyProtection="1">
      <alignment horizontal="center" vertical="distributed" textRotation="255" shrinkToFit="1"/>
    </xf>
    <xf numFmtId="0" fontId="7" fillId="0" borderId="2" xfId="0" applyFont="1" applyBorder="1" applyAlignment="1" applyProtection="1">
      <alignment horizontal="center" vertical="distributed" textRotation="255" shrinkToFit="1"/>
    </xf>
    <xf numFmtId="0" fontId="7" fillId="0" borderId="3" xfId="0" applyFont="1" applyBorder="1" applyAlignment="1" applyProtection="1">
      <alignment horizontal="center" vertical="distributed" textRotation="255" shrinkToFit="1"/>
    </xf>
    <xf numFmtId="38" fontId="26" fillId="2" borderId="5" xfId="1" applyFont="1" applyFill="1" applyBorder="1" applyAlignment="1" applyProtection="1">
      <alignment horizontal="right" vertical="center" shrinkToFit="1"/>
    </xf>
    <xf numFmtId="38" fontId="26" fillId="2" borderId="7" xfId="1" applyFont="1" applyFill="1" applyBorder="1" applyAlignment="1" applyProtection="1">
      <alignment horizontal="right" vertical="center" shrinkToFit="1"/>
    </xf>
    <xf numFmtId="38" fontId="26" fillId="2" borderId="15" xfId="1" applyFont="1" applyFill="1" applyBorder="1" applyAlignment="1" applyProtection="1">
      <alignment horizontal="right" vertical="center" shrinkToFit="1"/>
    </xf>
    <xf numFmtId="0" fontId="8" fillId="0" borderId="1" xfId="0" applyFont="1" applyBorder="1" applyAlignment="1" applyProtection="1">
      <alignment horizontal="center" vertical="center"/>
    </xf>
    <xf numFmtId="176" fontId="25" fillId="5" borderId="0" xfId="0" applyNumberFormat="1" applyFont="1" applyFill="1" applyBorder="1" applyAlignment="1" applyProtection="1">
      <alignment horizontal="center" vertical="center" shrinkToFit="1"/>
      <protection locked="0"/>
    </xf>
    <xf numFmtId="176" fontId="25" fillId="5" borderId="2" xfId="0" applyNumberFormat="1" applyFont="1" applyFill="1" applyBorder="1" applyAlignment="1" applyProtection="1">
      <alignment horizontal="center" vertical="center" shrinkToFit="1"/>
      <protection locked="0"/>
    </xf>
    <xf numFmtId="180" fontId="25" fillId="5" borderId="2" xfId="1" applyNumberFormat="1" applyFont="1" applyFill="1" applyBorder="1" applyAlignment="1" applyProtection="1">
      <alignment horizontal="center" vertical="center" shrinkToFit="1"/>
      <protection locked="0"/>
    </xf>
    <xf numFmtId="0" fontId="7" fillId="0" borderId="7" xfId="0" applyFont="1" applyBorder="1" applyAlignment="1" applyProtection="1">
      <alignment horizontal="center" vertical="center" textRotation="255" shrinkToFit="1"/>
    </xf>
    <xf numFmtId="0" fontId="7" fillId="0" borderId="0" xfId="0" applyFont="1" applyBorder="1" applyAlignment="1" applyProtection="1">
      <alignment horizontal="center" vertical="center" textRotation="255" shrinkToFit="1"/>
    </xf>
    <xf numFmtId="0" fontId="7" fillId="0" borderId="1" xfId="0" applyFont="1" applyBorder="1" applyAlignment="1" applyProtection="1">
      <alignment horizontal="center" vertical="center" textRotation="255" shrinkToFit="1"/>
    </xf>
    <xf numFmtId="0" fontId="7" fillId="0" borderId="15" xfId="0" applyFont="1" applyBorder="1" applyAlignment="1" applyProtection="1">
      <alignment horizontal="center" vertical="center" textRotation="255" shrinkToFit="1"/>
    </xf>
    <xf numFmtId="0" fontId="7" fillId="0" borderId="2" xfId="0" applyFont="1" applyBorder="1" applyAlignment="1" applyProtection="1">
      <alignment horizontal="center" vertical="center" textRotation="255" shrinkToFit="1"/>
    </xf>
    <xf numFmtId="0" fontId="7" fillId="0" borderId="3" xfId="0" applyFont="1" applyBorder="1" applyAlignment="1" applyProtection="1">
      <alignment horizontal="center" vertical="center" textRotation="255" shrinkToFit="1"/>
    </xf>
    <xf numFmtId="0" fontId="25" fillId="2" borderId="0" xfId="0" applyNumberFormat="1" applyFont="1" applyFill="1" applyBorder="1" applyAlignment="1" applyProtection="1">
      <alignment horizontal="center" vertical="center" shrinkToFit="1"/>
    </xf>
    <xf numFmtId="0" fontId="25" fillId="2" borderId="2" xfId="0" applyNumberFormat="1" applyFont="1" applyFill="1" applyBorder="1" applyAlignment="1" applyProtection="1">
      <alignment horizontal="center" vertical="center" shrinkToFit="1"/>
    </xf>
    <xf numFmtId="0" fontId="6" fillId="0" borderId="6" xfId="0" applyFont="1" applyBorder="1" applyAlignment="1" applyProtection="1">
      <alignment horizontal="left" vertical="center"/>
    </xf>
    <xf numFmtId="38" fontId="26" fillId="0" borderId="4" xfId="1" applyFont="1" applyBorder="1" applyAlignment="1" applyProtection="1">
      <alignment horizontal="right" vertical="center" shrinkToFit="1"/>
      <protection locked="0"/>
    </xf>
    <xf numFmtId="38" fontId="26" fillId="0" borderId="2" xfId="1" applyFont="1" applyBorder="1" applyAlignment="1" applyProtection="1">
      <alignment horizontal="right" vertical="center" shrinkToFit="1"/>
      <protection locked="0"/>
    </xf>
    <xf numFmtId="0" fontId="5" fillId="0" borderId="4" xfId="0" applyFont="1" applyBorder="1" applyAlignment="1" applyProtection="1">
      <alignment horizontal="center" vertical="center"/>
    </xf>
    <xf numFmtId="0" fontId="16" fillId="4" borderId="7" xfId="0" applyFont="1" applyFill="1" applyBorder="1" applyAlignment="1" applyProtection="1">
      <alignment horizontal="center" vertical="center" textRotation="255" shrinkToFit="1"/>
      <protection locked="0"/>
    </xf>
    <xf numFmtId="0" fontId="5" fillId="0" borderId="1" xfId="0" applyFont="1" applyBorder="1" applyAlignment="1" applyProtection="1">
      <alignment horizontal="left" vertical="center"/>
    </xf>
    <xf numFmtId="38" fontId="25" fillId="0" borderId="7" xfId="1" applyFont="1" applyBorder="1" applyAlignment="1" applyProtection="1">
      <alignment horizontal="right" vertical="center" shrinkToFit="1"/>
      <protection locked="0"/>
    </xf>
    <xf numFmtId="38" fontId="25" fillId="0" borderId="0" xfId="1" applyFont="1" applyBorder="1" applyAlignment="1" applyProtection="1">
      <alignment horizontal="right" vertical="center" shrinkToFit="1"/>
      <protection locked="0"/>
    </xf>
    <xf numFmtId="38" fontId="25" fillId="0" borderId="15" xfId="1" applyFont="1" applyBorder="1" applyAlignment="1" applyProtection="1">
      <alignment horizontal="right" vertical="center" shrinkToFit="1"/>
      <protection locked="0"/>
    </xf>
    <xf numFmtId="38" fontId="25" fillId="0" borderId="2" xfId="1" applyFont="1" applyBorder="1" applyAlignment="1" applyProtection="1">
      <alignment horizontal="right" vertical="center" shrinkToFit="1"/>
      <protection locked="0"/>
    </xf>
    <xf numFmtId="38" fontId="25" fillId="0" borderId="0" xfId="1" applyFont="1" applyBorder="1" applyAlignment="1" applyProtection="1">
      <alignment horizontal="center" vertical="center" shrinkToFit="1"/>
      <protection locked="0"/>
    </xf>
    <xf numFmtId="38" fontId="25" fillId="0" borderId="2" xfId="1" applyFont="1" applyBorder="1" applyAlignment="1" applyProtection="1">
      <alignment horizontal="center" vertical="center" shrinkToFit="1"/>
      <protection locked="0"/>
    </xf>
    <xf numFmtId="0" fontId="15" fillId="4" borderId="4" xfId="0" applyNumberFormat="1" applyFont="1" applyFill="1" applyBorder="1" applyAlignment="1" applyProtection="1">
      <alignment horizontal="center" vertical="center" shrinkToFit="1"/>
      <protection locked="0"/>
    </xf>
    <xf numFmtId="0" fontId="15" fillId="4" borderId="0" xfId="0" applyNumberFormat="1" applyFont="1" applyFill="1" applyBorder="1" applyAlignment="1" applyProtection="1">
      <alignment horizontal="center" vertical="center" shrinkToFit="1"/>
      <protection locked="0"/>
    </xf>
    <xf numFmtId="0" fontId="6" fillId="0" borderId="4" xfId="0" applyNumberFormat="1" applyFont="1" applyBorder="1" applyAlignment="1" applyProtection="1">
      <alignment horizontal="right" vertical="center" shrinkToFit="1"/>
    </xf>
    <xf numFmtId="0" fontId="6" fillId="0" borderId="0" xfId="0" applyNumberFormat="1" applyFont="1" applyBorder="1" applyAlignment="1" applyProtection="1">
      <alignment horizontal="right" vertical="center" shrinkToFit="1"/>
    </xf>
    <xf numFmtId="0" fontId="6" fillId="0" borderId="2" xfId="0" applyFont="1" applyBorder="1" applyAlignment="1" applyProtection="1">
      <alignment horizontal="left" vertical="center"/>
    </xf>
    <xf numFmtId="40" fontId="19" fillId="5" borderId="2" xfId="1" applyNumberFormat="1" applyFont="1" applyFill="1" applyBorder="1" applyAlignment="1" applyProtection="1">
      <alignment horizontal="center" vertical="center" shrinkToFit="1"/>
      <protection locked="0"/>
    </xf>
    <xf numFmtId="0" fontId="46" fillId="7" borderId="0" xfId="0" applyNumberFormat="1" applyFont="1" applyFill="1" applyBorder="1" applyAlignment="1" applyProtection="1">
      <alignment horizontal="center" vertical="center" shrinkToFit="1"/>
      <protection locked="0"/>
    </xf>
    <xf numFmtId="0" fontId="7" fillId="0" borderId="7" xfId="0" applyFont="1" applyBorder="1" applyAlignment="1" applyProtection="1">
      <alignment horizontal="center" vertical="distributed" textRotation="255" wrapText="1" shrinkToFit="1"/>
    </xf>
    <xf numFmtId="0" fontId="7" fillId="0" borderId="0" xfId="0" applyFont="1" applyBorder="1" applyAlignment="1" applyProtection="1">
      <alignment horizontal="center" vertical="distributed" textRotation="255" wrapText="1" shrinkToFit="1"/>
    </xf>
    <xf numFmtId="0" fontId="7" fillId="0" borderId="15" xfId="0" applyFont="1" applyBorder="1" applyAlignment="1" applyProtection="1">
      <alignment horizontal="center" vertical="distributed" textRotation="255" wrapText="1" shrinkToFit="1"/>
    </xf>
    <xf numFmtId="0" fontId="7" fillId="0" borderId="2" xfId="0" applyFont="1" applyBorder="1" applyAlignment="1" applyProtection="1">
      <alignment horizontal="center" vertical="distributed" textRotation="255" wrapText="1" shrinkToFit="1"/>
    </xf>
    <xf numFmtId="0" fontId="46" fillId="2" borderId="0" xfId="0" applyNumberFormat="1" applyFont="1" applyFill="1" applyBorder="1" applyAlignment="1" applyProtection="1">
      <alignment horizontal="center" vertical="center" shrinkToFit="1"/>
    </xf>
    <xf numFmtId="176" fontId="25" fillId="2" borderId="2" xfId="0" applyNumberFormat="1" applyFont="1" applyFill="1" applyBorder="1" applyAlignment="1" applyProtection="1">
      <alignment horizontal="center" vertical="center" shrinkToFit="1"/>
    </xf>
    <xf numFmtId="0" fontId="13" fillId="0" borderId="0" xfId="0" applyFont="1" applyBorder="1" applyAlignment="1" applyProtection="1">
      <alignment horizontal="center" vertical="distributed" textRotation="255" shrinkToFit="1"/>
    </xf>
    <xf numFmtId="0" fontId="13" fillId="0" borderId="7" xfId="0" applyFont="1" applyBorder="1" applyAlignment="1" applyProtection="1">
      <alignment horizontal="center" vertical="distributed" textRotation="255" shrinkToFit="1"/>
    </xf>
    <xf numFmtId="0" fontId="13" fillId="0" borderId="15" xfId="0" applyFont="1" applyBorder="1" applyAlignment="1" applyProtection="1">
      <alignment horizontal="center" vertical="distributed" textRotation="255" shrinkToFit="1"/>
    </xf>
    <xf numFmtId="0" fontId="13" fillId="0" borderId="2" xfId="0" applyFont="1" applyBorder="1" applyAlignment="1" applyProtection="1">
      <alignment horizontal="center" vertical="distributed" textRotation="255" shrinkToFit="1"/>
    </xf>
    <xf numFmtId="0" fontId="6" fillId="0" borderId="15" xfId="0" applyFont="1" applyBorder="1" applyAlignment="1" applyProtection="1">
      <alignment horizontal="center" vertical="center" textRotation="255" shrinkToFit="1"/>
    </xf>
    <xf numFmtId="0" fontId="6" fillId="0" borderId="2" xfId="0" applyFont="1" applyBorder="1" applyAlignment="1" applyProtection="1">
      <alignment horizontal="center" vertical="center" textRotation="255" shrinkToFit="1"/>
    </xf>
    <xf numFmtId="0" fontId="15" fillId="0" borderId="15" xfId="1" applyNumberFormat="1" applyFont="1" applyBorder="1" applyAlignment="1" applyProtection="1">
      <alignment horizontal="right" vertical="center" shrinkToFit="1"/>
      <protection locked="0"/>
    </xf>
    <xf numFmtId="0" fontId="15" fillId="0" borderId="2" xfId="1" applyNumberFormat="1" applyFont="1" applyBorder="1" applyAlignment="1" applyProtection="1">
      <alignment horizontal="right" vertical="center" shrinkToFit="1"/>
      <protection locked="0"/>
    </xf>
    <xf numFmtId="0" fontId="4" fillId="0" borderId="7" xfId="0" applyFont="1" applyBorder="1" applyAlignment="1" applyProtection="1">
      <alignment horizontal="center" vertical="center" textRotation="255" shrinkToFit="1"/>
    </xf>
    <xf numFmtId="0" fontId="4" fillId="0" borderId="0" xfId="0" applyFont="1" applyBorder="1" applyAlignment="1" applyProtection="1">
      <alignment horizontal="center" vertical="center" textRotation="255" shrinkToFit="1"/>
    </xf>
    <xf numFmtId="0" fontId="15" fillId="0" borderId="2" xfId="0" applyNumberFormat="1" applyFont="1" applyBorder="1" applyAlignment="1" applyProtection="1">
      <alignment horizontal="left" vertical="center" shrinkToFit="1"/>
      <protection locked="0"/>
    </xf>
    <xf numFmtId="0" fontId="7" fillId="0" borderId="6" xfId="0" applyFont="1" applyBorder="1" applyAlignment="1" applyProtection="1">
      <alignment horizontal="center" vertical="top" textRotation="255" shrinkToFit="1"/>
    </xf>
    <xf numFmtId="0" fontId="7" fillId="0" borderId="1" xfId="0" applyFont="1" applyBorder="1" applyAlignment="1" applyProtection="1">
      <alignment horizontal="center" vertical="top" textRotation="255" shrinkToFit="1"/>
    </xf>
    <xf numFmtId="0" fontId="7" fillId="0" borderId="3" xfId="0" applyFont="1" applyBorder="1" applyAlignment="1" applyProtection="1">
      <alignment horizontal="center" vertical="top" textRotation="255" shrinkToFit="1"/>
    </xf>
    <xf numFmtId="0" fontId="15" fillId="0" borderId="0" xfId="1" applyNumberFormat="1" applyFont="1" applyBorder="1" applyAlignment="1" applyProtection="1">
      <alignment horizontal="right" vertical="center" shrinkToFit="1"/>
      <protection locked="0"/>
    </xf>
    <xf numFmtId="0" fontId="6" fillId="0" borderId="0" xfId="0" applyFont="1" applyAlignment="1">
      <alignment horizontal="left" vertical="center"/>
    </xf>
    <xf numFmtId="0" fontId="22" fillId="4" borderId="5" xfId="0" applyNumberFormat="1" applyFont="1" applyFill="1" applyBorder="1" applyAlignment="1" applyProtection="1">
      <alignment vertical="center" wrapText="1"/>
      <protection locked="0"/>
    </xf>
    <xf numFmtId="0" fontId="22" fillId="4" borderId="4" xfId="0" applyNumberFormat="1" applyFont="1" applyFill="1" applyBorder="1" applyAlignment="1" applyProtection="1">
      <alignment vertical="center" wrapText="1"/>
      <protection locked="0"/>
    </xf>
    <xf numFmtId="0" fontId="22" fillId="4" borderId="7" xfId="0" applyNumberFormat="1" applyFont="1" applyFill="1" applyBorder="1" applyAlignment="1" applyProtection="1">
      <alignment vertical="center" wrapText="1"/>
      <protection locked="0"/>
    </xf>
    <xf numFmtId="0" fontId="22" fillId="4" borderId="0" xfId="0" applyNumberFormat="1" applyFont="1" applyFill="1" applyBorder="1" applyAlignment="1" applyProtection="1">
      <alignment vertical="center" wrapText="1"/>
      <protection locked="0"/>
    </xf>
    <xf numFmtId="0" fontId="6" fillId="0" borderId="0" xfId="0" applyFont="1" applyBorder="1" applyAlignment="1">
      <alignment horizontal="left" vertical="center"/>
    </xf>
    <xf numFmtId="0" fontId="15" fillId="0" borderId="0" xfId="0" applyNumberFormat="1" applyFont="1" applyBorder="1" applyAlignment="1" applyProtection="1">
      <alignment horizontal="right" vertical="center" shrinkToFit="1"/>
      <protection locked="0"/>
    </xf>
    <xf numFmtId="0" fontId="5" fillId="0" borderId="5"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5" fillId="0" borderId="15" xfId="0" applyFont="1" applyBorder="1" applyAlignment="1" applyProtection="1">
      <alignment horizontal="center" vertical="center" shrinkToFit="1"/>
    </xf>
    <xf numFmtId="0" fontId="5" fillId="0" borderId="7" xfId="0" applyFont="1" applyBorder="1" applyAlignment="1" applyProtection="1">
      <alignment horizontal="center" vertical="center"/>
    </xf>
    <xf numFmtId="0" fontId="5" fillId="0" borderId="5" xfId="0" applyFont="1" applyBorder="1" applyAlignment="1" applyProtection="1">
      <alignment horizontal="center" vertical="center"/>
    </xf>
    <xf numFmtId="0" fontId="21" fillId="0" borderId="20" xfId="0" applyFont="1" applyBorder="1" applyAlignment="1" applyProtection="1">
      <alignment horizontal="center" vertical="center"/>
    </xf>
    <xf numFmtId="0" fontId="21" fillId="0" borderId="0" xfId="0" applyFont="1" applyBorder="1" applyAlignment="1" applyProtection="1">
      <alignment horizontal="center" vertical="center"/>
    </xf>
    <xf numFmtId="0" fontId="23" fillId="0" borderId="9" xfId="0" applyFont="1" applyBorder="1" applyAlignment="1" applyProtection="1">
      <alignment horizontal="center" vertical="center"/>
    </xf>
    <xf numFmtId="0" fontId="23" fillId="0" borderId="10" xfId="0" applyFont="1" applyBorder="1" applyAlignment="1" applyProtection="1">
      <alignment horizontal="center" vertical="center"/>
    </xf>
    <xf numFmtId="0" fontId="23" fillId="0" borderId="11" xfId="0" applyFont="1" applyBorder="1" applyAlignment="1" applyProtection="1">
      <alignment horizontal="center" vertical="center"/>
    </xf>
    <xf numFmtId="0" fontId="39" fillId="0" borderId="8" xfId="0" applyFont="1" applyBorder="1" applyAlignment="1" applyProtection="1">
      <alignment horizontal="center" vertical="center" wrapText="1"/>
    </xf>
    <xf numFmtId="0" fontId="21" fillId="0" borderId="0" xfId="0" applyFont="1" applyAlignment="1" applyProtection="1">
      <alignment horizontal="center" vertical="center"/>
    </xf>
    <xf numFmtId="0" fontId="40" fillId="0" borderId="8" xfId="0" applyFont="1" applyBorder="1" applyAlignment="1" applyProtection="1">
      <alignment horizontal="center" vertical="center" wrapText="1"/>
    </xf>
    <xf numFmtId="0" fontId="0" fillId="0" borderId="8" xfId="0" applyFont="1" applyBorder="1" applyAlignment="1" applyProtection="1">
      <alignment horizontal="center" vertical="center"/>
    </xf>
    <xf numFmtId="0" fontId="21" fillId="0" borderId="8" xfId="0" applyFont="1" applyBorder="1" applyAlignment="1" applyProtection="1">
      <alignment horizontal="center" vertical="center"/>
    </xf>
    <xf numFmtId="0" fontId="41" fillId="0" borderId="9" xfId="0" applyFont="1" applyBorder="1" applyAlignment="1" applyProtection="1">
      <alignment horizontal="center" vertical="center" wrapText="1"/>
    </xf>
    <xf numFmtId="0" fontId="41" fillId="0" borderId="10" xfId="0" applyFont="1" applyBorder="1" applyAlignment="1" applyProtection="1">
      <alignment horizontal="center" vertical="center" wrapText="1"/>
    </xf>
    <xf numFmtId="0" fontId="42" fillId="0" borderId="20" xfId="0" applyFont="1" applyBorder="1" applyAlignment="1" applyProtection="1">
      <alignment horizontal="center" vertical="center" wrapText="1"/>
    </xf>
    <xf numFmtId="0" fontId="43" fillId="0" borderId="8" xfId="0" applyFont="1" applyBorder="1" applyAlignment="1" applyProtection="1">
      <alignment horizontal="center" vertical="center" wrapText="1"/>
    </xf>
    <xf numFmtId="0" fontId="23" fillId="4" borderId="23" xfId="0" applyFont="1" applyFill="1" applyBorder="1" applyAlignment="1" applyProtection="1">
      <alignment horizontal="right" vertical="center"/>
    </xf>
    <xf numFmtId="0" fontId="77" fillId="2" borderId="0" xfId="0" applyFont="1" applyFill="1" applyBorder="1" applyAlignment="1" applyProtection="1">
      <alignment horizontal="left" vertical="center"/>
    </xf>
    <xf numFmtId="0" fontId="2" fillId="7" borderId="9" xfId="0" applyFont="1" applyFill="1" applyBorder="1" applyAlignment="1" applyProtection="1">
      <alignment horizontal="center" vertical="center" wrapText="1"/>
    </xf>
    <xf numFmtId="0" fontId="2" fillId="7" borderId="10" xfId="0" applyFont="1" applyFill="1" applyBorder="1" applyAlignment="1" applyProtection="1">
      <alignment horizontal="center" vertical="center"/>
    </xf>
    <xf numFmtId="0" fontId="77" fillId="3" borderId="0" xfId="0" applyFont="1" applyFill="1" applyBorder="1" applyAlignment="1" applyProtection="1">
      <alignment horizontal="left" vertical="center"/>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xf>
    <xf numFmtId="0" fontId="23" fillId="0" borderId="9" xfId="0" applyFont="1" applyFill="1" applyBorder="1" applyAlignment="1" applyProtection="1">
      <alignment horizontal="center" vertical="center"/>
    </xf>
    <xf numFmtId="0" fontId="23" fillId="0" borderId="10" xfId="0" applyFont="1" applyFill="1" applyBorder="1" applyAlignment="1" applyProtection="1">
      <alignment horizontal="center" vertical="center"/>
    </xf>
    <xf numFmtId="0" fontId="23" fillId="0" borderId="8" xfId="0" applyFont="1" applyFill="1" applyBorder="1" applyAlignment="1" applyProtection="1">
      <alignment horizontal="center" vertical="center"/>
    </xf>
    <xf numFmtId="0" fontId="39" fillId="0" borderId="72" xfId="0" applyFont="1" applyFill="1" applyBorder="1" applyAlignment="1" applyProtection="1">
      <alignment vertical="center" wrapText="1"/>
    </xf>
  </cellXfs>
  <cellStyles count="4">
    <cellStyle name="パーセント" xfId="2" builtinId="5"/>
    <cellStyle name="ハイパーリンク" xfId="3" builtinId="8"/>
    <cellStyle name="桁区切り" xfId="1" builtinId="6"/>
    <cellStyle name="標準" xfId="0" builtinId="0"/>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color rgb="FF9C0006"/>
      </font>
      <fill>
        <patternFill>
          <bgColor rgb="FFFFC7CE"/>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0000FF"/>
      <color rgb="FFFFFFCC"/>
      <color rgb="FFCCFFFF"/>
      <color rgb="FF00FFFF"/>
      <color rgb="FFCCFFCC"/>
      <color rgb="FF46ED03"/>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A$7"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fmlaLink="$AB$11" lockText="1" noThreeD="1"/>
</file>

<file path=xl/ctrlProps/ctrlProp2.xml><?xml version="1.0" encoding="utf-8"?>
<formControlPr xmlns="http://schemas.microsoft.com/office/spreadsheetml/2009/9/main" objectType="CheckBox" fmlaLink="$AA$8" lockText="1" noThreeD="1"/>
</file>

<file path=xl/ctrlProps/ctrlProp3.xml><?xml version="1.0" encoding="utf-8"?>
<formControlPr xmlns="http://schemas.microsoft.com/office/spreadsheetml/2009/9/main" objectType="CheckBox" fmlaLink="$AA$7" lockText="1" noThreeD="1"/>
</file>

<file path=xl/ctrlProps/ctrlProp4.xml><?xml version="1.0" encoding="utf-8"?>
<formControlPr xmlns="http://schemas.microsoft.com/office/spreadsheetml/2009/9/main" objectType="CheckBox" fmlaLink="$AA$8" lockText="1" noThreeD="1"/>
</file>

<file path=xl/ctrlProps/ctrlProp5.xml><?xml version="1.0" encoding="utf-8"?>
<formControlPr xmlns="http://schemas.microsoft.com/office/spreadsheetml/2009/9/main" objectType="CheckBox" checked="Checked" fmlaLink="$AO$55" lockText="1" noThreeD="1"/>
</file>

<file path=xl/ctrlProps/ctrlProp6.xml><?xml version="1.0" encoding="utf-8"?>
<formControlPr xmlns="http://schemas.microsoft.com/office/spreadsheetml/2009/9/main" objectType="CheckBox" fmlaLink="$AO$56"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13" Type="http://schemas.openxmlformats.org/officeDocument/2006/relationships/image" Target="../media/image13.jpg"/><Relationship Id="rId18" Type="http://schemas.openxmlformats.org/officeDocument/2006/relationships/image" Target="../media/image18.jpg"/><Relationship Id="rId3" Type="http://schemas.openxmlformats.org/officeDocument/2006/relationships/image" Target="../media/image3.jpg"/><Relationship Id="rId7" Type="http://schemas.openxmlformats.org/officeDocument/2006/relationships/image" Target="../media/image7.jpg"/><Relationship Id="rId12" Type="http://schemas.openxmlformats.org/officeDocument/2006/relationships/image" Target="../media/image12.jpg"/><Relationship Id="rId17" Type="http://schemas.openxmlformats.org/officeDocument/2006/relationships/image" Target="../media/image17.jpg"/><Relationship Id="rId2" Type="http://schemas.openxmlformats.org/officeDocument/2006/relationships/image" Target="../media/image2.jpg"/><Relationship Id="rId16" Type="http://schemas.openxmlformats.org/officeDocument/2006/relationships/image" Target="../media/image16.jpg"/><Relationship Id="rId1" Type="http://schemas.openxmlformats.org/officeDocument/2006/relationships/image" Target="../media/image1.jpg"/><Relationship Id="rId6" Type="http://schemas.openxmlformats.org/officeDocument/2006/relationships/image" Target="../media/image6.jpg"/><Relationship Id="rId11" Type="http://schemas.openxmlformats.org/officeDocument/2006/relationships/image" Target="../media/image11.jpg"/><Relationship Id="rId5" Type="http://schemas.openxmlformats.org/officeDocument/2006/relationships/image" Target="../media/image5.jpg"/><Relationship Id="rId15" Type="http://schemas.openxmlformats.org/officeDocument/2006/relationships/image" Target="../media/image15.jpg"/><Relationship Id="rId10" Type="http://schemas.openxmlformats.org/officeDocument/2006/relationships/image" Target="../media/image10.jpg"/><Relationship Id="rId4" Type="http://schemas.openxmlformats.org/officeDocument/2006/relationships/image" Target="../media/image4.jpg"/><Relationship Id="rId9" Type="http://schemas.openxmlformats.org/officeDocument/2006/relationships/image" Target="../media/image9.jpg"/><Relationship Id="rId14" Type="http://schemas.openxmlformats.org/officeDocument/2006/relationships/image" Target="../media/image14.jpg"/></Relationships>
</file>

<file path=xl/drawings/_rels/drawing2.xml.rels><?xml version="1.0" encoding="UTF-8" standalone="yes"?>
<Relationships xmlns="http://schemas.openxmlformats.org/package/2006/relationships"><Relationship Id="rId2" Type="http://schemas.openxmlformats.org/officeDocument/2006/relationships/image" Target="../media/image20.jpg"/><Relationship Id="rId1" Type="http://schemas.openxmlformats.org/officeDocument/2006/relationships/image" Target="../media/image19.jpg"/></Relationships>
</file>

<file path=xl/drawings/drawing1.xml><?xml version="1.0" encoding="utf-8"?>
<xdr:wsDr xmlns:xdr="http://schemas.openxmlformats.org/drawingml/2006/spreadsheetDrawing" xmlns:a="http://schemas.openxmlformats.org/drawingml/2006/main">
  <xdr:twoCellAnchor editAs="oneCell">
    <xdr:from>
      <xdr:col>3</xdr:col>
      <xdr:colOff>219075</xdr:colOff>
      <xdr:row>48</xdr:row>
      <xdr:rowOff>28575</xdr:rowOff>
    </xdr:from>
    <xdr:to>
      <xdr:col>4</xdr:col>
      <xdr:colOff>38100</xdr:colOff>
      <xdr:row>49</xdr:row>
      <xdr:rowOff>47625</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5" y="6191250"/>
          <a:ext cx="190500" cy="190500"/>
        </a:xfrm>
        <a:prstGeom prst="rect">
          <a:avLst/>
        </a:prstGeom>
      </xdr:spPr>
    </xdr:pic>
    <xdr:clientData/>
  </xdr:twoCellAnchor>
  <xdr:twoCellAnchor editAs="oneCell">
    <xdr:from>
      <xdr:col>3</xdr:col>
      <xdr:colOff>0</xdr:colOff>
      <xdr:row>55</xdr:row>
      <xdr:rowOff>123825</xdr:rowOff>
    </xdr:from>
    <xdr:to>
      <xdr:col>4</xdr:col>
      <xdr:colOff>19050</xdr:colOff>
      <xdr:row>57</xdr:row>
      <xdr:rowOff>41275</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6250" y="7486650"/>
          <a:ext cx="390525" cy="260350"/>
        </a:xfrm>
        <a:prstGeom prst="rect">
          <a:avLst/>
        </a:prstGeom>
      </xdr:spPr>
    </xdr:pic>
    <xdr:clientData/>
  </xdr:twoCellAnchor>
  <xdr:twoCellAnchor editAs="oneCell">
    <xdr:from>
      <xdr:col>12</xdr:col>
      <xdr:colOff>571500</xdr:colOff>
      <xdr:row>55</xdr:row>
      <xdr:rowOff>142875</xdr:rowOff>
    </xdr:from>
    <xdr:to>
      <xdr:col>13</xdr:col>
      <xdr:colOff>276225</xdr:colOff>
      <xdr:row>57</xdr:row>
      <xdr:rowOff>65532</xdr:rowOff>
    </xdr:to>
    <xdr:pic>
      <xdr:nvPicPr>
        <xdr:cNvPr id="4" name="図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172325" y="8296275"/>
          <a:ext cx="390525" cy="265557"/>
        </a:xfrm>
        <a:prstGeom prst="rect">
          <a:avLst/>
        </a:prstGeom>
      </xdr:spPr>
    </xdr:pic>
    <xdr:clientData/>
  </xdr:twoCellAnchor>
  <xdr:twoCellAnchor editAs="oneCell">
    <xdr:from>
      <xdr:col>2</xdr:col>
      <xdr:colOff>114300</xdr:colOff>
      <xdr:row>61</xdr:row>
      <xdr:rowOff>8700</xdr:rowOff>
    </xdr:from>
    <xdr:to>
      <xdr:col>14</xdr:col>
      <xdr:colOff>576117</xdr:colOff>
      <xdr:row>75</xdr:row>
      <xdr:rowOff>104775</xdr:rowOff>
    </xdr:to>
    <xdr:pic>
      <xdr:nvPicPr>
        <xdr:cNvPr id="5" name="図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90575" y="10733850"/>
          <a:ext cx="7757967" cy="2496375"/>
        </a:xfrm>
        <a:prstGeom prst="rect">
          <a:avLst/>
        </a:prstGeom>
      </xdr:spPr>
    </xdr:pic>
    <xdr:clientData/>
  </xdr:twoCellAnchor>
  <xdr:twoCellAnchor editAs="oneCell">
    <xdr:from>
      <xdr:col>17</xdr:col>
      <xdr:colOff>381001</xdr:colOff>
      <xdr:row>113</xdr:row>
      <xdr:rowOff>142875</xdr:rowOff>
    </xdr:from>
    <xdr:to>
      <xdr:col>21</xdr:col>
      <xdr:colOff>609601</xdr:colOff>
      <xdr:row>115</xdr:row>
      <xdr:rowOff>107992</xdr:rowOff>
    </xdr:to>
    <xdr:pic>
      <xdr:nvPicPr>
        <xdr:cNvPr id="6" name="図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418321" y="18865215"/>
          <a:ext cx="2697480" cy="376597"/>
        </a:xfrm>
        <a:prstGeom prst="rect">
          <a:avLst/>
        </a:prstGeom>
      </xdr:spPr>
    </xdr:pic>
    <xdr:clientData/>
  </xdr:twoCellAnchor>
  <xdr:twoCellAnchor editAs="oneCell">
    <xdr:from>
      <xdr:col>19</xdr:col>
      <xdr:colOff>169545</xdr:colOff>
      <xdr:row>116</xdr:row>
      <xdr:rowOff>72390</xdr:rowOff>
    </xdr:from>
    <xdr:to>
      <xdr:col>21</xdr:col>
      <xdr:colOff>577215</xdr:colOff>
      <xdr:row>120</xdr:row>
      <xdr:rowOff>72390</xdr:rowOff>
    </xdr:to>
    <xdr:pic>
      <xdr:nvPicPr>
        <xdr:cNvPr id="7" name="図 6"/>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0441305" y="19373850"/>
          <a:ext cx="1642110" cy="678180"/>
        </a:xfrm>
        <a:prstGeom prst="rect">
          <a:avLst/>
        </a:prstGeom>
      </xdr:spPr>
    </xdr:pic>
    <xdr:clientData/>
  </xdr:twoCellAnchor>
  <xdr:twoCellAnchor editAs="oneCell">
    <xdr:from>
      <xdr:col>15</xdr:col>
      <xdr:colOff>190500</xdr:colOff>
      <xdr:row>120</xdr:row>
      <xdr:rowOff>57150</xdr:rowOff>
    </xdr:from>
    <xdr:to>
      <xdr:col>16</xdr:col>
      <xdr:colOff>613410</xdr:colOff>
      <xdr:row>122</xdr:row>
      <xdr:rowOff>142875</xdr:rowOff>
    </xdr:to>
    <xdr:pic>
      <xdr:nvPicPr>
        <xdr:cNvPr id="8" name="図 7"/>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848725" y="20469225"/>
          <a:ext cx="1162050" cy="476250"/>
        </a:xfrm>
        <a:prstGeom prst="rect">
          <a:avLst/>
        </a:prstGeom>
      </xdr:spPr>
    </xdr:pic>
    <xdr:clientData/>
  </xdr:twoCellAnchor>
  <xdr:twoCellAnchor editAs="oneCell">
    <xdr:from>
      <xdr:col>20</xdr:col>
      <xdr:colOff>81915</xdr:colOff>
      <xdr:row>122</xdr:row>
      <xdr:rowOff>53340</xdr:rowOff>
    </xdr:from>
    <xdr:to>
      <xdr:col>21</xdr:col>
      <xdr:colOff>550545</xdr:colOff>
      <xdr:row>124</xdr:row>
      <xdr:rowOff>106680</xdr:rowOff>
    </xdr:to>
    <xdr:pic>
      <xdr:nvPicPr>
        <xdr:cNvPr id="10" name="図 9"/>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0970895" y="20413980"/>
          <a:ext cx="1085850" cy="388620"/>
        </a:xfrm>
        <a:prstGeom prst="rect">
          <a:avLst/>
        </a:prstGeom>
      </xdr:spPr>
    </xdr:pic>
    <xdr:clientData/>
  </xdr:twoCellAnchor>
  <xdr:twoCellAnchor editAs="oneCell">
    <xdr:from>
      <xdr:col>18</xdr:col>
      <xdr:colOff>175260</xdr:colOff>
      <xdr:row>132</xdr:row>
      <xdr:rowOff>99060</xdr:rowOff>
    </xdr:from>
    <xdr:to>
      <xdr:col>21</xdr:col>
      <xdr:colOff>129209</xdr:colOff>
      <xdr:row>138</xdr:row>
      <xdr:rowOff>80010</xdr:rowOff>
    </xdr:to>
    <xdr:pic>
      <xdr:nvPicPr>
        <xdr:cNvPr id="11" name="図 10"/>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9829800" y="22136100"/>
          <a:ext cx="1805609" cy="986790"/>
        </a:xfrm>
        <a:prstGeom prst="rect">
          <a:avLst/>
        </a:prstGeom>
      </xdr:spPr>
    </xdr:pic>
    <xdr:clientData/>
  </xdr:twoCellAnchor>
  <xdr:twoCellAnchor editAs="oneCell">
    <xdr:from>
      <xdr:col>14</xdr:col>
      <xdr:colOff>209550</xdr:colOff>
      <xdr:row>143</xdr:row>
      <xdr:rowOff>152400</xdr:rowOff>
    </xdr:from>
    <xdr:to>
      <xdr:col>15</xdr:col>
      <xdr:colOff>609600</xdr:colOff>
      <xdr:row>145</xdr:row>
      <xdr:rowOff>161925</xdr:rowOff>
    </xdr:to>
    <xdr:pic>
      <xdr:nvPicPr>
        <xdr:cNvPr id="12" name="図 11"/>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8181975" y="20107275"/>
          <a:ext cx="1085850" cy="352425"/>
        </a:xfrm>
        <a:prstGeom prst="rect">
          <a:avLst/>
        </a:prstGeom>
      </xdr:spPr>
    </xdr:pic>
    <xdr:clientData/>
  </xdr:twoCellAnchor>
  <xdr:twoCellAnchor editAs="oneCell">
    <xdr:from>
      <xdr:col>16</xdr:col>
      <xdr:colOff>247651</xdr:colOff>
      <xdr:row>146</xdr:row>
      <xdr:rowOff>47625</xdr:rowOff>
    </xdr:from>
    <xdr:to>
      <xdr:col>19</xdr:col>
      <xdr:colOff>613411</xdr:colOff>
      <xdr:row>150</xdr:row>
      <xdr:rowOff>123825</xdr:rowOff>
    </xdr:to>
    <xdr:pic>
      <xdr:nvPicPr>
        <xdr:cNvPr id="13" name="図 12"/>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9267826" y="20945475"/>
          <a:ext cx="2476500" cy="762000"/>
        </a:xfrm>
        <a:prstGeom prst="rect">
          <a:avLst/>
        </a:prstGeom>
      </xdr:spPr>
    </xdr:pic>
    <xdr:clientData/>
  </xdr:twoCellAnchor>
  <xdr:twoCellAnchor editAs="oneCell">
    <xdr:from>
      <xdr:col>14</xdr:col>
      <xdr:colOff>200025</xdr:colOff>
      <xdr:row>151</xdr:row>
      <xdr:rowOff>19050</xdr:rowOff>
    </xdr:from>
    <xdr:to>
      <xdr:col>15</xdr:col>
      <xdr:colOff>428625</xdr:colOff>
      <xdr:row>154</xdr:row>
      <xdr:rowOff>57150</xdr:rowOff>
    </xdr:to>
    <xdr:pic>
      <xdr:nvPicPr>
        <xdr:cNvPr id="14" name="図 13"/>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7848600" y="19821525"/>
          <a:ext cx="914400" cy="552450"/>
        </a:xfrm>
        <a:prstGeom prst="rect">
          <a:avLst/>
        </a:prstGeom>
      </xdr:spPr>
    </xdr:pic>
    <xdr:clientData/>
  </xdr:twoCellAnchor>
  <xdr:twoCellAnchor editAs="oneCell">
    <xdr:from>
      <xdr:col>10</xdr:col>
      <xdr:colOff>500</xdr:colOff>
      <xdr:row>161</xdr:row>
      <xdr:rowOff>38099</xdr:rowOff>
    </xdr:from>
    <xdr:to>
      <xdr:col>12</xdr:col>
      <xdr:colOff>190749</xdr:colOff>
      <xdr:row>162</xdr:row>
      <xdr:rowOff>219074</xdr:rowOff>
    </xdr:to>
    <xdr:pic>
      <xdr:nvPicPr>
        <xdr:cNvPr id="15" name="図 14"/>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5020175" y="25765124"/>
          <a:ext cx="1771399" cy="352425"/>
        </a:xfrm>
        <a:prstGeom prst="rect">
          <a:avLst/>
        </a:prstGeom>
      </xdr:spPr>
    </xdr:pic>
    <xdr:clientData/>
  </xdr:twoCellAnchor>
  <xdr:twoCellAnchor editAs="oneCell">
    <xdr:from>
      <xdr:col>14</xdr:col>
      <xdr:colOff>13662</xdr:colOff>
      <xdr:row>161</xdr:row>
      <xdr:rowOff>28575</xdr:rowOff>
    </xdr:from>
    <xdr:to>
      <xdr:col>20</xdr:col>
      <xdr:colOff>251786</xdr:colOff>
      <xdr:row>162</xdr:row>
      <xdr:rowOff>219075</xdr:rowOff>
    </xdr:to>
    <xdr:pic>
      <xdr:nvPicPr>
        <xdr:cNvPr id="16" name="図 15"/>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7986087" y="25755600"/>
          <a:ext cx="4352924" cy="361950"/>
        </a:xfrm>
        <a:prstGeom prst="rect">
          <a:avLst/>
        </a:prstGeom>
      </xdr:spPr>
    </xdr:pic>
    <xdr:clientData/>
  </xdr:twoCellAnchor>
  <xdr:twoCellAnchor editAs="oneCell">
    <xdr:from>
      <xdr:col>1</xdr:col>
      <xdr:colOff>257175</xdr:colOff>
      <xdr:row>169</xdr:row>
      <xdr:rowOff>95250</xdr:rowOff>
    </xdr:from>
    <xdr:to>
      <xdr:col>10</xdr:col>
      <xdr:colOff>581025</xdr:colOff>
      <xdr:row>175</xdr:row>
      <xdr:rowOff>123825</xdr:rowOff>
    </xdr:to>
    <xdr:pic>
      <xdr:nvPicPr>
        <xdr:cNvPr id="17" name="図 16"/>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581025" y="25307925"/>
          <a:ext cx="5019675" cy="1057275"/>
        </a:xfrm>
        <a:prstGeom prst="rect">
          <a:avLst/>
        </a:prstGeom>
      </xdr:spPr>
    </xdr:pic>
    <xdr:clientData/>
  </xdr:twoCellAnchor>
  <xdr:twoCellAnchor editAs="oneCell">
    <xdr:from>
      <xdr:col>12</xdr:col>
      <xdr:colOff>209550</xdr:colOff>
      <xdr:row>169</xdr:row>
      <xdr:rowOff>95250</xdr:rowOff>
    </xdr:from>
    <xdr:to>
      <xdr:col>19</xdr:col>
      <xdr:colOff>381000</xdr:colOff>
      <xdr:row>176</xdr:row>
      <xdr:rowOff>104775</xdr:rowOff>
    </xdr:to>
    <xdr:pic>
      <xdr:nvPicPr>
        <xdr:cNvPr id="18" name="図 17"/>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6810375" y="25307925"/>
          <a:ext cx="4972050" cy="1209675"/>
        </a:xfrm>
        <a:prstGeom prst="rect">
          <a:avLst/>
        </a:prstGeom>
      </xdr:spPr>
    </xdr:pic>
    <xdr:clientData/>
  </xdr:twoCellAnchor>
  <xdr:twoCellAnchor>
    <xdr:from>
      <xdr:col>11</xdr:col>
      <xdr:colOff>28575</xdr:colOff>
      <xdr:row>171</xdr:row>
      <xdr:rowOff>95250</xdr:rowOff>
    </xdr:from>
    <xdr:to>
      <xdr:col>11</xdr:col>
      <xdr:colOff>647700</xdr:colOff>
      <xdr:row>174</xdr:row>
      <xdr:rowOff>57150</xdr:rowOff>
    </xdr:to>
    <xdr:sp macro="" textlink="">
      <xdr:nvSpPr>
        <xdr:cNvPr id="19" name="右矢印 18"/>
        <xdr:cNvSpPr/>
      </xdr:nvSpPr>
      <xdr:spPr bwMode="auto">
        <a:xfrm>
          <a:off x="5943600" y="25650825"/>
          <a:ext cx="619125" cy="476250"/>
        </a:xfrm>
        <a:prstGeom prst="righ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17</xdr:col>
      <xdr:colOff>320040</xdr:colOff>
      <xdr:row>122</xdr:row>
      <xdr:rowOff>144780</xdr:rowOff>
    </xdr:from>
    <xdr:to>
      <xdr:col>20</xdr:col>
      <xdr:colOff>179070</xdr:colOff>
      <xdr:row>124</xdr:row>
      <xdr:rowOff>62865</xdr:rowOff>
    </xdr:to>
    <xdr:pic>
      <xdr:nvPicPr>
        <xdr:cNvPr id="20" name="図 19"/>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9357360" y="20505420"/>
          <a:ext cx="1710690" cy="253365"/>
        </a:xfrm>
        <a:prstGeom prst="rect">
          <a:avLst/>
        </a:prstGeom>
      </xdr:spPr>
    </xdr:pic>
    <xdr:clientData/>
  </xdr:twoCellAnchor>
  <xdr:twoCellAnchor editAs="oneCell">
    <xdr:from>
      <xdr:col>16</xdr:col>
      <xdr:colOff>548639</xdr:colOff>
      <xdr:row>125</xdr:row>
      <xdr:rowOff>160019</xdr:rowOff>
    </xdr:from>
    <xdr:to>
      <xdr:col>19</xdr:col>
      <xdr:colOff>1561</xdr:colOff>
      <xdr:row>130</xdr:row>
      <xdr:rowOff>160020</xdr:rowOff>
    </xdr:to>
    <xdr:pic>
      <xdr:nvPicPr>
        <xdr:cNvPr id="9" name="図 8"/>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8968739" y="21023579"/>
          <a:ext cx="1304582" cy="8382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66675</xdr:colOff>
          <xdr:row>5</xdr:row>
          <xdr:rowOff>171450</xdr:rowOff>
        </xdr:from>
        <xdr:to>
          <xdr:col>8</xdr:col>
          <xdr:colOff>57150</xdr:colOff>
          <xdr:row>7</xdr:row>
          <xdr:rowOff>38100</xdr:rowOff>
        </xdr:to>
        <xdr:sp macro="" textlink="">
          <xdr:nvSpPr>
            <xdr:cNvPr id="3263" name="Check Box 191" hidden="1">
              <a:extLst>
                <a:ext uri="{63B3BB69-23CF-44E3-9099-C40C66FF867C}">
                  <a14:compatExt spid="_x0000_s3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6</xdr:row>
          <xdr:rowOff>190500</xdr:rowOff>
        </xdr:from>
        <xdr:to>
          <xdr:col>8</xdr:col>
          <xdr:colOff>133350</xdr:colOff>
          <xdr:row>8</xdr:row>
          <xdr:rowOff>19050</xdr:rowOff>
        </xdr:to>
        <xdr:sp macro="" textlink="">
          <xdr:nvSpPr>
            <xdr:cNvPr id="3265" name="Check Box 193" hidden="1">
              <a:extLst>
                <a:ext uri="{63B3BB69-23CF-44E3-9099-C40C66FF867C}">
                  <a14:compatExt spid="_x0000_s3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10</xdr:row>
      <xdr:rowOff>217508</xdr:rowOff>
    </xdr:from>
    <xdr:to>
      <xdr:col>37</xdr:col>
      <xdr:colOff>0</xdr:colOff>
      <xdr:row>87</xdr:row>
      <xdr:rowOff>0</xdr:rowOff>
    </xdr:to>
    <xdr:grpSp>
      <xdr:nvGrpSpPr>
        <xdr:cNvPr id="10695" name="グループ化 129"/>
        <xdr:cNvGrpSpPr>
          <a:grpSpLocks/>
        </xdr:cNvGrpSpPr>
      </xdr:nvGrpSpPr>
      <xdr:grpSpPr bwMode="auto">
        <a:xfrm>
          <a:off x="122464" y="1979633"/>
          <a:ext cx="7075715" cy="10722635"/>
          <a:chOff x="45463" y="499870"/>
          <a:chExt cx="6520211" cy="10718315"/>
        </a:xfrm>
      </xdr:grpSpPr>
      <xdr:grpSp>
        <xdr:nvGrpSpPr>
          <xdr:cNvPr id="10703" name="グループ化 3349"/>
          <xdr:cNvGrpSpPr>
            <a:grpSpLocks/>
          </xdr:cNvGrpSpPr>
        </xdr:nvGrpSpPr>
        <xdr:grpSpPr bwMode="auto">
          <a:xfrm>
            <a:off x="45463" y="499870"/>
            <a:ext cx="6520211" cy="10718315"/>
            <a:chOff x="46139" y="499870"/>
            <a:chExt cx="7019506" cy="10718315"/>
          </a:xfrm>
        </xdr:grpSpPr>
        <xdr:grpSp>
          <xdr:nvGrpSpPr>
            <xdr:cNvPr id="10705" name="グループ化 3336"/>
            <xdr:cNvGrpSpPr>
              <a:grpSpLocks/>
            </xdr:cNvGrpSpPr>
          </xdr:nvGrpSpPr>
          <xdr:grpSpPr bwMode="auto">
            <a:xfrm>
              <a:off x="46139" y="499870"/>
              <a:ext cx="7019506" cy="10718315"/>
              <a:chOff x="9504" y="206793"/>
              <a:chExt cx="7019507" cy="10718315"/>
            </a:xfrm>
          </xdr:grpSpPr>
          <xdr:grpSp>
            <xdr:nvGrpSpPr>
              <xdr:cNvPr id="10709" name="グループ化 3332"/>
              <xdr:cNvGrpSpPr>
                <a:grpSpLocks/>
              </xdr:cNvGrpSpPr>
            </xdr:nvGrpSpPr>
            <xdr:grpSpPr bwMode="auto">
              <a:xfrm>
                <a:off x="9504" y="206793"/>
                <a:ext cx="7019507" cy="10718315"/>
                <a:chOff x="9658" y="208763"/>
                <a:chExt cx="7133563" cy="10820394"/>
              </a:xfrm>
            </xdr:grpSpPr>
            <xdr:grpSp>
              <xdr:nvGrpSpPr>
                <xdr:cNvPr id="10711" name="グループ化 3323"/>
                <xdr:cNvGrpSpPr>
                  <a:grpSpLocks/>
                </xdr:cNvGrpSpPr>
              </xdr:nvGrpSpPr>
              <xdr:grpSpPr bwMode="auto">
                <a:xfrm>
                  <a:off x="9658" y="208971"/>
                  <a:ext cx="7133563" cy="10820186"/>
                  <a:chOff x="9658" y="208971"/>
                  <a:chExt cx="7133563" cy="10820186"/>
                </a:xfrm>
              </xdr:grpSpPr>
              <xdr:cxnSp macro="">
                <xdr:nvCxnSpPr>
                  <xdr:cNvPr id="10713" name="直線コネクタ 3301"/>
                  <xdr:cNvCxnSpPr>
                    <a:cxnSpLocks noChangeShapeType="1"/>
                  </xdr:cNvCxnSpPr>
                </xdr:nvCxnSpPr>
                <xdr:spPr bwMode="auto">
                  <a:xfrm>
                    <a:off x="353948" y="8495750"/>
                    <a:ext cx="6789273" cy="0"/>
                  </a:xfrm>
                  <a:prstGeom prst="line">
                    <a:avLst/>
                  </a:prstGeom>
                  <a:noFill/>
                  <a:ln w="6350" algn="ctr">
                    <a:solidFill>
                      <a:srgbClr val="000000"/>
                    </a:solidFill>
                    <a:prstDash val="dash"/>
                    <a:round/>
                    <a:headEnd/>
                    <a:tailEnd/>
                  </a:ln>
                  <a:extLst>
                    <a:ext uri="{909E8E84-426E-40DD-AFC4-6F175D3DCCD1}">
                      <a14:hiddenFill xmlns:a14="http://schemas.microsoft.com/office/drawing/2010/main">
                        <a:noFill/>
                      </a14:hiddenFill>
                    </a:ext>
                  </a:extLst>
                </xdr:spPr>
              </xdr:cxnSp>
              <xdr:grpSp>
                <xdr:nvGrpSpPr>
                  <xdr:cNvPr id="10714" name="グループ化 3322"/>
                  <xdr:cNvGrpSpPr>
                    <a:grpSpLocks/>
                  </xdr:cNvGrpSpPr>
                </xdr:nvGrpSpPr>
                <xdr:grpSpPr bwMode="auto">
                  <a:xfrm>
                    <a:off x="9658" y="208971"/>
                    <a:ext cx="7133563" cy="10820186"/>
                    <a:chOff x="9658" y="208971"/>
                    <a:chExt cx="7133563" cy="10820186"/>
                  </a:xfrm>
                </xdr:grpSpPr>
                <xdr:cxnSp macro="">
                  <xdr:nvCxnSpPr>
                    <xdr:cNvPr id="10715" name="直線コネクタ 3315"/>
                    <xdr:cNvCxnSpPr>
                      <a:cxnSpLocks noChangeShapeType="1"/>
                    </xdr:cNvCxnSpPr>
                  </xdr:nvCxnSpPr>
                  <xdr:spPr bwMode="auto">
                    <a:xfrm>
                      <a:off x="4564164" y="10376925"/>
                      <a:ext cx="0" cy="652232"/>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grpSp>
                  <xdr:nvGrpSpPr>
                    <xdr:cNvPr id="10716" name="グループ化 3321"/>
                    <xdr:cNvGrpSpPr>
                      <a:grpSpLocks/>
                    </xdr:cNvGrpSpPr>
                  </xdr:nvGrpSpPr>
                  <xdr:grpSpPr bwMode="auto">
                    <a:xfrm>
                      <a:off x="9658" y="208971"/>
                      <a:ext cx="7133563" cy="10820186"/>
                      <a:chOff x="9658" y="208971"/>
                      <a:chExt cx="7133563" cy="10820186"/>
                    </a:xfrm>
                  </xdr:grpSpPr>
                  <xdr:cxnSp macro="">
                    <xdr:nvCxnSpPr>
                      <xdr:cNvPr id="10717" name="直線コネクタ 3303"/>
                      <xdr:cNvCxnSpPr>
                        <a:cxnSpLocks noChangeShapeType="1"/>
                      </xdr:cNvCxnSpPr>
                    </xdr:nvCxnSpPr>
                    <xdr:spPr bwMode="auto">
                      <a:xfrm>
                        <a:off x="352948" y="6319355"/>
                        <a:ext cx="6790273"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18" name="直線コネクタ 3305"/>
                      <xdr:cNvCxnSpPr>
                        <a:cxnSpLocks noChangeShapeType="1"/>
                      </xdr:cNvCxnSpPr>
                    </xdr:nvCxnSpPr>
                    <xdr:spPr bwMode="auto">
                      <a:xfrm>
                        <a:off x="353948" y="8070084"/>
                        <a:ext cx="6789273"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20" name="直線コネクタ 3309"/>
                      <xdr:cNvCxnSpPr>
                        <a:cxnSpLocks noChangeShapeType="1"/>
                      </xdr:cNvCxnSpPr>
                    </xdr:nvCxnSpPr>
                    <xdr:spPr bwMode="auto">
                      <a:xfrm>
                        <a:off x="353948" y="9941702"/>
                        <a:ext cx="6789273"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21" name="直線コネクタ 3311"/>
                      <xdr:cNvCxnSpPr>
                        <a:cxnSpLocks noChangeShapeType="1"/>
                      </xdr:cNvCxnSpPr>
                    </xdr:nvCxnSpPr>
                    <xdr:spPr bwMode="auto">
                      <a:xfrm>
                        <a:off x="352948" y="10672145"/>
                        <a:ext cx="6548274" cy="1"/>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22" name="直線コネクタ 3313"/>
                      <xdr:cNvCxnSpPr>
                        <a:cxnSpLocks noChangeShapeType="1"/>
                      </xdr:cNvCxnSpPr>
                    </xdr:nvCxnSpPr>
                    <xdr:spPr bwMode="auto">
                      <a:xfrm>
                        <a:off x="2570600" y="10376925"/>
                        <a:ext cx="0" cy="652232"/>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grpSp>
                    <xdr:nvGrpSpPr>
                      <xdr:cNvPr id="10723" name="グループ化 3320"/>
                      <xdr:cNvGrpSpPr>
                        <a:grpSpLocks/>
                      </xdr:cNvGrpSpPr>
                    </xdr:nvGrpSpPr>
                    <xdr:grpSpPr bwMode="auto">
                      <a:xfrm>
                        <a:off x="9658" y="208971"/>
                        <a:ext cx="7133563" cy="10820186"/>
                        <a:chOff x="9658" y="208971"/>
                        <a:chExt cx="7133563" cy="10820186"/>
                      </a:xfrm>
                    </xdr:grpSpPr>
                    <xdr:grpSp>
                      <xdr:nvGrpSpPr>
                        <xdr:cNvPr id="10724" name="グループ化 3287"/>
                        <xdr:cNvGrpSpPr>
                          <a:grpSpLocks/>
                        </xdr:cNvGrpSpPr>
                      </xdr:nvGrpSpPr>
                      <xdr:grpSpPr bwMode="auto">
                        <a:xfrm>
                          <a:off x="9658" y="208971"/>
                          <a:ext cx="7133563" cy="10820186"/>
                          <a:chOff x="9658" y="208971"/>
                          <a:chExt cx="7133563" cy="10820186"/>
                        </a:xfrm>
                      </xdr:grpSpPr>
                      <xdr:grpSp>
                        <xdr:nvGrpSpPr>
                          <xdr:cNvPr id="10730" name="グループ化 3234"/>
                          <xdr:cNvGrpSpPr>
                            <a:grpSpLocks/>
                          </xdr:cNvGrpSpPr>
                        </xdr:nvGrpSpPr>
                        <xdr:grpSpPr bwMode="auto">
                          <a:xfrm>
                            <a:off x="9675" y="208971"/>
                            <a:ext cx="7133546" cy="10820186"/>
                            <a:chOff x="9675" y="208971"/>
                            <a:chExt cx="7133546" cy="10820186"/>
                          </a:xfrm>
                        </xdr:grpSpPr>
                        <xdr:grpSp>
                          <xdr:nvGrpSpPr>
                            <xdr:cNvPr id="10743" name="グループ化 6"/>
                            <xdr:cNvGrpSpPr>
                              <a:grpSpLocks/>
                            </xdr:cNvGrpSpPr>
                          </xdr:nvGrpSpPr>
                          <xdr:grpSpPr bwMode="auto">
                            <a:xfrm>
                              <a:off x="9677" y="208971"/>
                              <a:ext cx="7133544" cy="10820186"/>
                              <a:chOff x="9677" y="208971"/>
                              <a:chExt cx="7133544" cy="10820186"/>
                            </a:xfrm>
                          </xdr:grpSpPr>
                          <xdr:grpSp>
                            <xdr:nvGrpSpPr>
                              <xdr:cNvPr id="10752" name="グループ化 3"/>
                              <xdr:cNvGrpSpPr>
                                <a:grpSpLocks/>
                              </xdr:cNvGrpSpPr>
                            </xdr:nvGrpSpPr>
                            <xdr:grpSpPr bwMode="auto">
                              <a:xfrm>
                                <a:off x="9677" y="208971"/>
                                <a:ext cx="7133543" cy="10820186"/>
                                <a:chOff x="9677" y="208971"/>
                                <a:chExt cx="7133543" cy="10820186"/>
                              </a:xfrm>
                            </xdr:grpSpPr>
                            <xdr:sp macro="" textlink="">
                              <xdr:nvSpPr>
                                <xdr:cNvPr id="10754" name="正方形/長方形 1"/>
                                <xdr:cNvSpPr>
                                  <a:spLocks noChangeArrowheads="1"/>
                                </xdr:cNvSpPr>
                              </xdr:nvSpPr>
                              <xdr:spPr bwMode="auto">
                                <a:xfrm>
                                  <a:off x="4403768" y="208971"/>
                                  <a:ext cx="2739452" cy="234026"/>
                                </a:xfrm>
                                <a:prstGeom prst="rect">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755" name="正方形/長方形 2"/>
                                <xdr:cNvSpPr>
                                  <a:spLocks noChangeArrowheads="1"/>
                                </xdr:cNvSpPr>
                              </xdr:nvSpPr>
                              <xdr:spPr bwMode="auto">
                                <a:xfrm>
                                  <a:off x="9677" y="442402"/>
                                  <a:ext cx="7131169" cy="10586755"/>
                                </a:xfrm>
                                <a:prstGeom prst="rect">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xnSp macro="">
                            <xdr:nvCxnSpPr>
                              <xdr:cNvPr id="10753" name="直線コネクタ 5"/>
                              <xdr:cNvCxnSpPr>
                                <a:cxnSpLocks noChangeShapeType="1"/>
                              </xdr:cNvCxnSpPr>
                            </xdr:nvCxnSpPr>
                            <xdr:spPr bwMode="auto">
                              <a:xfrm>
                                <a:off x="12052" y="10375336"/>
                                <a:ext cx="7131169" cy="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grpSp>
                        <xdr:cxnSp macro="">
                          <xdr:nvCxnSpPr>
                            <xdr:cNvPr id="10744" name="直線コネクタ 15"/>
                            <xdr:cNvCxnSpPr>
                              <a:cxnSpLocks noChangeShapeType="1"/>
                            </xdr:cNvCxnSpPr>
                          </xdr:nvCxnSpPr>
                          <xdr:spPr bwMode="auto">
                            <a:xfrm>
                              <a:off x="9675" y="1048706"/>
                              <a:ext cx="7133546"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45" name="直線コネクタ 17"/>
                            <xdr:cNvCxnSpPr>
                              <a:cxnSpLocks noChangeShapeType="1"/>
                            </xdr:cNvCxnSpPr>
                          </xdr:nvCxnSpPr>
                          <xdr:spPr bwMode="auto">
                            <a:xfrm>
                              <a:off x="764897" y="442402"/>
                              <a:ext cx="0" cy="60571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46" name="直線コネクタ 21"/>
                            <xdr:cNvCxnSpPr>
                              <a:cxnSpLocks noChangeShapeType="1"/>
                            </xdr:cNvCxnSpPr>
                          </xdr:nvCxnSpPr>
                          <xdr:spPr bwMode="auto">
                            <a:xfrm>
                              <a:off x="2570601" y="442402"/>
                              <a:ext cx="0" cy="60571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47" name="直線コネクタ 23"/>
                            <xdr:cNvCxnSpPr>
                              <a:cxnSpLocks noChangeShapeType="1"/>
                            </xdr:cNvCxnSpPr>
                          </xdr:nvCxnSpPr>
                          <xdr:spPr bwMode="auto">
                            <a:xfrm>
                              <a:off x="3050089" y="442996"/>
                              <a:ext cx="1" cy="60571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48" name="直線コネクタ 25"/>
                            <xdr:cNvCxnSpPr>
                              <a:cxnSpLocks noChangeShapeType="1"/>
                            </xdr:cNvCxnSpPr>
                          </xdr:nvCxnSpPr>
                          <xdr:spPr bwMode="auto">
                            <a:xfrm>
                              <a:off x="4781435" y="442996"/>
                              <a:ext cx="1" cy="60571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49" name="直線コネクタ 29"/>
                            <xdr:cNvCxnSpPr>
                              <a:cxnSpLocks noChangeShapeType="1"/>
                            </xdr:cNvCxnSpPr>
                          </xdr:nvCxnSpPr>
                          <xdr:spPr bwMode="auto">
                            <a:xfrm flipH="1">
                              <a:off x="5749464" y="208971"/>
                              <a:ext cx="1" cy="837603"/>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50" name="直線コネクタ 3231"/>
                            <xdr:cNvCxnSpPr>
                              <a:cxnSpLocks noChangeShapeType="1"/>
                            </xdr:cNvCxnSpPr>
                          </xdr:nvCxnSpPr>
                          <xdr:spPr bwMode="auto">
                            <a:xfrm>
                              <a:off x="2570601" y="744488"/>
                              <a:ext cx="2217652"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51" name="直線コネクタ 3233"/>
                            <xdr:cNvCxnSpPr>
                              <a:cxnSpLocks noChangeShapeType="1"/>
                            </xdr:cNvCxnSpPr>
                          </xdr:nvCxnSpPr>
                          <xdr:spPr bwMode="auto">
                            <a:xfrm>
                              <a:off x="5145275" y="744488"/>
                              <a:ext cx="1997946"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94" name="直線コネクタ 29"/>
                            <xdr:cNvCxnSpPr>
                              <a:cxnSpLocks noChangeShapeType="1"/>
                            </xdr:cNvCxnSpPr>
                          </xdr:nvCxnSpPr>
                          <xdr:spPr bwMode="auto">
                            <a:xfrm>
                              <a:off x="5140336" y="447747"/>
                              <a:ext cx="0" cy="598827"/>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grpSp>
                      <xdr:cxnSp macro="">
                        <xdr:nvCxnSpPr>
                          <xdr:cNvPr id="10731" name="直線コネクタ 3239"/>
                          <xdr:cNvCxnSpPr>
                            <a:cxnSpLocks noChangeShapeType="1"/>
                          </xdr:cNvCxnSpPr>
                        </xdr:nvCxnSpPr>
                        <xdr:spPr bwMode="auto">
                          <a:xfrm>
                            <a:off x="9658" y="2227457"/>
                            <a:ext cx="7133563"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32" name="直線コネクタ 3241"/>
                          <xdr:cNvCxnSpPr>
                            <a:cxnSpLocks noChangeShapeType="1"/>
                          </xdr:cNvCxnSpPr>
                        </xdr:nvCxnSpPr>
                        <xdr:spPr bwMode="auto">
                          <a:xfrm flipH="1">
                            <a:off x="9660" y="1190752"/>
                            <a:ext cx="5231736" cy="1"/>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33" name="直線コネクタ 3243"/>
                          <xdr:cNvCxnSpPr>
                            <a:cxnSpLocks noChangeShapeType="1"/>
                          </xdr:cNvCxnSpPr>
                        </xdr:nvCxnSpPr>
                        <xdr:spPr bwMode="auto">
                          <a:xfrm>
                            <a:off x="9659" y="1664478"/>
                            <a:ext cx="5231737"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34" name="直線コネクタ 3245"/>
                          <xdr:cNvCxnSpPr>
                            <a:cxnSpLocks noChangeShapeType="1"/>
                          </xdr:cNvCxnSpPr>
                        </xdr:nvCxnSpPr>
                        <xdr:spPr bwMode="auto">
                          <a:xfrm>
                            <a:off x="353948" y="2232593"/>
                            <a:ext cx="0" cy="8796564"/>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35" name="直線コネクタ 3247"/>
                          <xdr:cNvCxnSpPr>
                            <a:cxnSpLocks noChangeShapeType="1"/>
                          </xdr:cNvCxnSpPr>
                        </xdr:nvCxnSpPr>
                        <xdr:spPr bwMode="auto">
                          <a:xfrm>
                            <a:off x="1375952" y="1664478"/>
                            <a:ext cx="0" cy="562979"/>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36" name="直線コネクタ 3266"/>
                          <xdr:cNvCxnSpPr>
                            <a:cxnSpLocks noChangeShapeType="1"/>
                          </xdr:cNvCxnSpPr>
                        </xdr:nvCxnSpPr>
                        <xdr:spPr bwMode="auto">
                          <a:xfrm>
                            <a:off x="1938947" y="1334930"/>
                            <a:ext cx="3302448"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37" name="直線コネクタ 3269"/>
                          <xdr:cNvCxnSpPr>
                            <a:cxnSpLocks noChangeShapeType="1"/>
                          </xdr:cNvCxnSpPr>
                        </xdr:nvCxnSpPr>
                        <xdr:spPr bwMode="auto">
                          <a:xfrm>
                            <a:off x="2570600" y="1190752"/>
                            <a:ext cx="0" cy="474931"/>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39" name="直線コネクタ 3273"/>
                          <xdr:cNvCxnSpPr>
                            <a:cxnSpLocks noChangeShapeType="1"/>
                          </xdr:cNvCxnSpPr>
                        </xdr:nvCxnSpPr>
                        <xdr:spPr bwMode="auto">
                          <a:xfrm>
                            <a:off x="4403767" y="1190752"/>
                            <a:ext cx="1" cy="474931"/>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40" name="直線コネクタ 3275"/>
                          <xdr:cNvCxnSpPr>
                            <a:cxnSpLocks noChangeShapeType="1"/>
                          </xdr:cNvCxnSpPr>
                        </xdr:nvCxnSpPr>
                        <xdr:spPr bwMode="auto">
                          <a:xfrm>
                            <a:off x="1176844" y="1046574"/>
                            <a:ext cx="0" cy="1180883"/>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41" name="直線コネクタ 3279"/>
                          <xdr:cNvCxnSpPr>
                            <a:cxnSpLocks noChangeShapeType="1"/>
                          </xdr:cNvCxnSpPr>
                        </xdr:nvCxnSpPr>
                        <xdr:spPr bwMode="auto">
                          <a:xfrm>
                            <a:off x="9658" y="1945968"/>
                            <a:ext cx="1167185"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42" name="直線コネクタ 3285"/>
                          <xdr:cNvCxnSpPr>
                            <a:cxnSpLocks noChangeShapeType="1"/>
                          </xdr:cNvCxnSpPr>
                        </xdr:nvCxnSpPr>
                        <xdr:spPr bwMode="auto">
                          <a:xfrm>
                            <a:off x="3298375" y="1663045"/>
                            <a:ext cx="0" cy="564412"/>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79" name="直線コネクタ 3273"/>
                          <xdr:cNvCxnSpPr>
                            <a:cxnSpLocks noChangeShapeType="1"/>
                          </xdr:cNvCxnSpPr>
                        </xdr:nvCxnSpPr>
                        <xdr:spPr bwMode="auto">
                          <a:xfrm>
                            <a:off x="3511215" y="1190752"/>
                            <a:ext cx="0" cy="1036705"/>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8" name="直線コネクタ 3269"/>
                          <xdr:cNvCxnSpPr>
                            <a:cxnSpLocks noChangeShapeType="1"/>
                          </xdr:cNvCxnSpPr>
                        </xdr:nvCxnSpPr>
                        <xdr:spPr bwMode="auto">
                          <a:xfrm>
                            <a:off x="1938947" y="1046574"/>
                            <a:ext cx="0" cy="619476"/>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32" name="直線コネクタ 3247"/>
                          <xdr:cNvCxnSpPr>
                            <a:cxnSpLocks noChangeShapeType="1"/>
                          </xdr:cNvCxnSpPr>
                        </xdr:nvCxnSpPr>
                        <xdr:spPr bwMode="auto">
                          <a:xfrm>
                            <a:off x="574210" y="1664478"/>
                            <a:ext cx="0" cy="564412"/>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grpSp>
                    <xdr:cxnSp macro="">
                      <xdr:nvCxnSpPr>
                        <xdr:cNvPr id="10725" name="直線コネクタ 3292"/>
                        <xdr:cNvCxnSpPr>
                          <a:cxnSpLocks noChangeShapeType="1"/>
                        </xdr:cNvCxnSpPr>
                      </xdr:nvCxnSpPr>
                      <xdr:spPr bwMode="auto">
                        <a:xfrm>
                          <a:off x="352948" y="2673721"/>
                          <a:ext cx="6790273"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26" name="直線コネクタ 3294"/>
                        <xdr:cNvCxnSpPr>
                          <a:cxnSpLocks noChangeShapeType="1"/>
                        </xdr:cNvCxnSpPr>
                      </xdr:nvCxnSpPr>
                      <xdr:spPr bwMode="auto">
                        <a:xfrm>
                          <a:off x="352948" y="3119986"/>
                          <a:ext cx="6790273"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27" name="直線コネクタ 3296"/>
                        <xdr:cNvCxnSpPr>
                          <a:cxnSpLocks noChangeShapeType="1"/>
                        </xdr:cNvCxnSpPr>
                      </xdr:nvCxnSpPr>
                      <xdr:spPr bwMode="auto">
                        <a:xfrm>
                          <a:off x="352948" y="3566250"/>
                          <a:ext cx="6790273"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28" name="直線コネクタ 3299"/>
                        <xdr:cNvCxnSpPr>
                          <a:cxnSpLocks noChangeShapeType="1"/>
                        </xdr:cNvCxnSpPr>
                      </xdr:nvCxnSpPr>
                      <xdr:spPr bwMode="auto">
                        <a:xfrm>
                          <a:off x="352948" y="4012514"/>
                          <a:ext cx="6790273"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29" name="直線コネクタ 3317"/>
                        <xdr:cNvCxnSpPr>
                          <a:cxnSpLocks noChangeShapeType="1"/>
                        </xdr:cNvCxnSpPr>
                      </xdr:nvCxnSpPr>
                      <xdr:spPr bwMode="auto">
                        <a:xfrm flipV="1">
                          <a:off x="6902222" y="2227457"/>
                          <a:ext cx="696" cy="88017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grpSp>
                  <xdr:cxnSp macro="">
                    <xdr:nvCxnSpPr>
                      <xdr:cNvPr id="68" name="直線コネクタ 3303"/>
                      <xdr:cNvCxnSpPr>
                        <a:cxnSpLocks noChangeShapeType="1"/>
                      </xdr:cNvCxnSpPr>
                    </xdr:nvCxnSpPr>
                    <xdr:spPr bwMode="auto">
                      <a:xfrm>
                        <a:off x="352948" y="7205018"/>
                        <a:ext cx="6790273"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28" name="直線コネクタ 3309"/>
                      <xdr:cNvCxnSpPr>
                        <a:cxnSpLocks noChangeShapeType="1"/>
                      </xdr:cNvCxnSpPr>
                    </xdr:nvCxnSpPr>
                    <xdr:spPr bwMode="auto">
                      <a:xfrm>
                        <a:off x="353948" y="9518725"/>
                        <a:ext cx="6789273"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grpSp>
              </xdr:grpSp>
              <xdr:cxnSp macro="">
                <xdr:nvCxnSpPr>
                  <xdr:cNvPr id="177" name="直線コネクタ 3301"/>
                  <xdr:cNvCxnSpPr>
                    <a:cxnSpLocks noChangeShapeType="1"/>
                  </xdr:cNvCxnSpPr>
                </xdr:nvCxnSpPr>
                <xdr:spPr bwMode="auto">
                  <a:xfrm>
                    <a:off x="352948" y="4465644"/>
                    <a:ext cx="6790273" cy="0"/>
                  </a:xfrm>
                  <a:prstGeom prst="line">
                    <a:avLst/>
                  </a:prstGeom>
                  <a:noFill/>
                  <a:ln w="6350" algn="ctr">
                    <a:solidFill>
                      <a:srgbClr val="000000"/>
                    </a:solidFill>
                    <a:prstDash val="dash"/>
                    <a:round/>
                    <a:headEnd/>
                    <a:tailEnd/>
                  </a:ln>
                  <a:extLst>
                    <a:ext uri="{909E8E84-426E-40DD-AFC4-6F175D3DCCD1}">
                      <a14:hiddenFill xmlns:a14="http://schemas.microsoft.com/office/drawing/2010/main">
                        <a:noFill/>
                      </a14:hiddenFill>
                    </a:ext>
                  </a:extLst>
                </xdr:spPr>
              </xdr:cxnSp>
            </xdr:grpSp>
            <xdr:cxnSp macro="">
              <xdr:nvCxnSpPr>
                <xdr:cNvPr id="10712" name="直線コネクタ 3325"/>
                <xdr:cNvCxnSpPr>
                  <a:cxnSpLocks noChangeShapeType="1"/>
                </xdr:cNvCxnSpPr>
              </xdr:nvCxnSpPr>
              <xdr:spPr bwMode="auto">
                <a:xfrm>
                  <a:off x="5731809" y="208763"/>
                  <a:ext cx="1411412"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grpSp>
          <xdr:cxnSp macro="">
            <xdr:nvCxnSpPr>
              <xdr:cNvPr id="10710" name="直線コネクタ 3335"/>
              <xdr:cNvCxnSpPr>
                <a:cxnSpLocks noChangeShapeType="1"/>
              </xdr:cNvCxnSpPr>
            </xdr:nvCxnSpPr>
            <xdr:spPr bwMode="auto">
              <a:xfrm>
                <a:off x="6283697" y="206999"/>
                <a:ext cx="0" cy="231817"/>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grpSp>
        <xdr:cxnSp macro="">
          <xdr:nvCxnSpPr>
            <xdr:cNvPr id="10706" name="直線コネクタ 3344"/>
            <xdr:cNvCxnSpPr>
              <a:cxnSpLocks noChangeShapeType="1"/>
            </xdr:cNvCxnSpPr>
          </xdr:nvCxnSpPr>
          <xdr:spPr bwMode="auto">
            <a:xfrm>
              <a:off x="2139858" y="731305"/>
              <a:ext cx="0" cy="599996"/>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07" name="直線コネクタ 3346"/>
            <xdr:cNvCxnSpPr>
              <a:cxnSpLocks noChangeShapeType="1"/>
            </xdr:cNvCxnSpPr>
          </xdr:nvCxnSpPr>
          <xdr:spPr bwMode="auto">
            <a:xfrm>
              <a:off x="5194227" y="1329778"/>
              <a:ext cx="0" cy="1169743"/>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08" name="直線コネクタ 3348"/>
            <xdr:cNvCxnSpPr>
              <a:cxnSpLocks noChangeShapeType="1"/>
            </xdr:cNvCxnSpPr>
          </xdr:nvCxnSpPr>
          <xdr:spPr bwMode="auto">
            <a:xfrm>
              <a:off x="5398853" y="1331889"/>
              <a:ext cx="0" cy="1172719"/>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grpSp>
      <xdr:cxnSp macro="">
        <xdr:nvCxnSpPr>
          <xdr:cNvPr id="10704" name="直線コネクタ 128"/>
          <xdr:cNvCxnSpPr>
            <a:cxnSpLocks noChangeShapeType="1"/>
          </xdr:cNvCxnSpPr>
        </xdr:nvCxnSpPr>
        <xdr:spPr bwMode="auto">
          <a:xfrm>
            <a:off x="5291754" y="2499520"/>
            <a:ext cx="0" cy="8072586"/>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mc:AlternateContent xmlns:mc="http://schemas.openxmlformats.org/markup-compatibility/2006">
    <mc:Choice xmlns:a14="http://schemas.microsoft.com/office/drawing/2010/main" Requires="a14">
      <xdr:twoCellAnchor>
        <xdr:from>
          <xdr:col>14</xdr:col>
          <xdr:colOff>0</xdr:colOff>
          <xdr:row>18</xdr:row>
          <xdr:rowOff>142875</xdr:rowOff>
        </xdr:from>
        <xdr:to>
          <xdr:col>14</xdr:col>
          <xdr:colOff>190500</xdr:colOff>
          <xdr:row>20</xdr:row>
          <xdr:rowOff>0</xdr:rowOff>
        </xdr:to>
        <xdr:sp macro="" textlink="">
          <xdr:nvSpPr>
            <xdr:cNvPr id="10192" name="Check Box 5072" hidden="1">
              <a:extLst>
                <a:ext uri="{63B3BB69-23CF-44E3-9099-C40C66FF867C}">
                  <a14:compatExt spid="_x0000_s10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18</xdr:row>
          <xdr:rowOff>142875</xdr:rowOff>
        </xdr:from>
        <xdr:to>
          <xdr:col>19</xdr:col>
          <xdr:colOff>104775</xdr:colOff>
          <xdr:row>20</xdr:row>
          <xdr:rowOff>0</xdr:rowOff>
        </xdr:to>
        <xdr:sp macro="" textlink="">
          <xdr:nvSpPr>
            <xdr:cNvPr id="10194" name="Check Box 5074" hidden="1">
              <a:extLst>
                <a:ext uri="{63B3BB69-23CF-44E3-9099-C40C66FF867C}">
                  <a14:compatExt spid="_x0000_s10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117837</xdr:colOff>
      <xdr:row>1</xdr:row>
      <xdr:rowOff>72174</xdr:rowOff>
    </xdr:from>
    <xdr:to>
      <xdr:col>23</xdr:col>
      <xdr:colOff>103108</xdr:colOff>
      <xdr:row>3</xdr:row>
      <xdr:rowOff>57445</xdr:rowOff>
    </xdr:to>
    <xdr:sp macro="" textlink="">
      <xdr:nvSpPr>
        <xdr:cNvPr id="2" name="テキスト ボックス 1"/>
        <xdr:cNvSpPr txBox="1">
          <a:spLocks noChangeAspect="1"/>
        </xdr:cNvSpPr>
      </xdr:nvSpPr>
      <xdr:spPr>
        <a:xfrm>
          <a:off x="3921033" y="208245"/>
          <a:ext cx="182575" cy="298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t>／</a:t>
          </a:r>
        </a:p>
      </xdr:txBody>
    </xdr:sp>
    <xdr:clientData/>
  </xdr:twoCellAnchor>
  <xdr:twoCellAnchor>
    <xdr:from>
      <xdr:col>16</xdr:col>
      <xdr:colOff>101600</xdr:colOff>
      <xdr:row>47</xdr:row>
      <xdr:rowOff>25400</xdr:rowOff>
    </xdr:from>
    <xdr:to>
      <xdr:col>19</xdr:col>
      <xdr:colOff>108858</xdr:colOff>
      <xdr:row>48</xdr:row>
      <xdr:rowOff>54428</xdr:rowOff>
    </xdr:to>
    <xdr:sp macro="" textlink="">
      <xdr:nvSpPr>
        <xdr:cNvPr id="25" name="大かっこ 24"/>
        <xdr:cNvSpPr/>
      </xdr:nvSpPr>
      <xdr:spPr bwMode="auto">
        <a:xfrm>
          <a:off x="3238046" y="7339239"/>
          <a:ext cx="674008" cy="151493"/>
        </a:xfrm>
        <a:prstGeom prst="bracketPair">
          <a:avLst>
            <a:gd name="adj" fmla="val 27778"/>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39</xdr:col>
          <xdr:colOff>133350</xdr:colOff>
          <xdr:row>53</xdr:row>
          <xdr:rowOff>123825</xdr:rowOff>
        </xdr:from>
        <xdr:to>
          <xdr:col>39</xdr:col>
          <xdr:colOff>342900</xdr:colOff>
          <xdr:row>55</xdr:row>
          <xdr:rowOff>9525</xdr:rowOff>
        </xdr:to>
        <xdr:sp macro="" textlink="">
          <xdr:nvSpPr>
            <xdr:cNvPr id="10216" name="Check Box 5096" hidden="1">
              <a:extLst>
                <a:ext uri="{63B3BB69-23CF-44E3-9099-C40C66FF867C}">
                  <a14:compatExt spid="_x0000_s10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55</xdr:row>
          <xdr:rowOff>9525</xdr:rowOff>
        </xdr:from>
        <xdr:to>
          <xdr:col>39</xdr:col>
          <xdr:colOff>342900</xdr:colOff>
          <xdr:row>56</xdr:row>
          <xdr:rowOff>0</xdr:rowOff>
        </xdr:to>
        <xdr:sp macro="" textlink="">
          <xdr:nvSpPr>
            <xdr:cNvPr id="10217" name="Check Box 5097" hidden="1">
              <a:extLst>
                <a:ext uri="{63B3BB69-23CF-44E3-9099-C40C66FF867C}">
                  <a14:compatExt spid="_x0000_s10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102053</xdr:colOff>
      <xdr:row>64</xdr:row>
      <xdr:rowOff>40821</xdr:rowOff>
    </xdr:from>
    <xdr:to>
      <xdr:col>17</xdr:col>
      <xdr:colOff>102054</xdr:colOff>
      <xdr:row>65</xdr:row>
      <xdr:rowOff>90996</xdr:rowOff>
    </xdr:to>
    <xdr:sp macro="" textlink="">
      <xdr:nvSpPr>
        <xdr:cNvPr id="78" name="大かっこ 77"/>
        <xdr:cNvSpPr/>
      </xdr:nvSpPr>
      <xdr:spPr bwMode="auto">
        <a:xfrm>
          <a:off x="2762249" y="9382125"/>
          <a:ext cx="721180" cy="172639"/>
        </a:xfrm>
        <a:prstGeom prst="bracketPair">
          <a:avLst>
            <a:gd name="adj" fmla="val 27178"/>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40821</xdr:colOff>
      <xdr:row>58</xdr:row>
      <xdr:rowOff>74840</xdr:rowOff>
    </xdr:from>
    <xdr:to>
      <xdr:col>20</xdr:col>
      <xdr:colOff>40821</xdr:colOff>
      <xdr:row>60</xdr:row>
      <xdr:rowOff>6803</xdr:rowOff>
    </xdr:to>
    <xdr:sp macro="" textlink="">
      <xdr:nvSpPr>
        <xdr:cNvPr id="4" name="中かっこ 3"/>
        <xdr:cNvSpPr/>
      </xdr:nvSpPr>
      <xdr:spPr bwMode="auto">
        <a:xfrm>
          <a:off x="911678" y="9681483"/>
          <a:ext cx="3129643" cy="170088"/>
        </a:xfrm>
        <a:prstGeom prst="bracePair">
          <a:avLst>
            <a:gd name="adj" fmla="val 13461"/>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41</xdr:col>
          <xdr:colOff>238125</xdr:colOff>
          <xdr:row>53</xdr:row>
          <xdr:rowOff>95250</xdr:rowOff>
        </xdr:from>
        <xdr:to>
          <xdr:col>43</xdr:col>
          <xdr:colOff>103415</xdr:colOff>
          <xdr:row>61</xdr:row>
          <xdr:rowOff>10886</xdr:rowOff>
        </xdr:to>
        <xdr:grpSp>
          <xdr:nvGrpSpPr>
            <xdr:cNvPr id="29" name="グループ化 28"/>
            <xdr:cNvGrpSpPr/>
          </xdr:nvGrpSpPr>
          <xdr:grpSpPr>
            <a:xfrm>
              <a:off x="9171214" y="8130268"/>
              <a:ext cx="228601" cy="793297"/>
              <a:chOff x="9054192" y="9810764"/>
              <a:chExt cx="308962" cy="779672"/>
            </a:xfrm>
          </xdr:grpSpPr>
          <xdr:sp macro="" textlink="">
            <xdr:nvSpPr>
              <xdr:cNvPr id="10222" name="Check Box 5102" hidden="1">
                <a:extLst>
                  <a:ext uri="{63B3BB69-23CF-44E3-9099-C40C66FF867C}">
                    <a14:compatExt spid="_x0000_s10222"/>
                  </a:ext>
                </a:extLst>
              </xdr:cNvPr>
              <xdr:cNvSpPr/>
            </xdr:nvSpPr>
            <xdr:spPr bwMode="auto">
              <a:xfrm>
                <a:off x="9058351" y="9810764"/>
                <a:ext cx="304803" cy="247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25" name="Check Box 5105" hidden="1">
                <a:extLst>
                  <a:ext uri="{63B3BB69-23CF-44E3-9099-C40C66FF867C}">
                    <a14:compatExt spid="_x0000_s10225"/>
                  </a:ext>
                </a:extLst>
              </xdr:cNvPr>
              <xdr:cNvSpPr/>
            </xdr:nvSpPr>
            <xdr:spPr bwMode="auto">
              <a:xfrm>
                <a:off x="9054193" y="9949542"/>
                <a:ext cx="304801" cy="2367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26" name="Check Box 5106" hidden="1">
                <a:extLst>
                  <a:ext uri="{63B3BB69-23CF-44E3-9099-C40C66FF867C}">
                    <a14:compatExt spid="_x0000_s10226"/>
                  </a:ext>
                </a:extLst>
              </xdr:cNvPr>
              <xdr:cNvSpPr/>
            </xdr:nvSpPr>
            <xdr:spPr bwMode="auto">
              <a:xfrm>
                <a:off x="9054193" y="10085613"/>
                <a:ext cx="304801" cy="2394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27" name="Check Box 5107" hidden="1">
                <a:extLst>
                  <a:ext uri="{63B3BB69-23CF-44E3-9099-C40C66FF867C}">
                    <a14:compatExt spid="_x0000_s10227"/>
                  </a:ext>
                </a:extLst>
              </xdr:cNvPr>
              <xdr:cNvSpPr/>
            </xdr:nvSpPr>
            <xdr:spPr bwMode="auto">
              <a:xfrm>
                <a:off x="9054192" y="10221686"/>
                <a:ext cx="304801" cy="2367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28" name="Check Box 5108" hidden="1">
                <a:extLst>
                  <a:ext uri="{63B3BB69-23CF-44E3-9099-C40C66FF867C}">
                    <a14:compatExt spid="_x0000_s10228"/>
                  </a:ext>
                </a:extLst>
              </xdr:cNvPr>
              <xdr:cNvSpPr/>
            </xdr:nvSpPr>
            <xdr:spPr bwMode="auto">
              <a:xfrm>
                <a:off x="9054192" y="10350950"/>
                <a:ext cx="304801" cy="2394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xdr:col>
      <xdr:colOff>20411</xdr:colOff>
      <xdr:row>90</xdr:row>
      <xdr:rowOff>34018</xdr:rowOff>
    </xdr:from>
    <xdr:to>
      <xdr:col>37</xdr:col>
      <xdr:colOff>176894</xdr:colOff>
      <xdr:row>95</xdr:row>
      <xdr:rowOff>81641</xdr:rowOff>
    </xdr:to>
    <xdr:sp macro="" textlink="">
      <xdr:nvSpPr>
        <xdr:cNvPr id="3" name="テキスト ボックス 2"/>
        <xdr:cNvSpPr txBox="1"/>
      </xdr:nvSpPr>
      <xdr:spPr>
        <a:xfrm>
          <a:off x="74840" y="13647964"/>
          <a:ext cx="7239000" cy="727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50">
              <a:latin typeface="ＭＳ 明朝" panose="02020609040205080304" pitchFamily="17" charset="-128"/>
              <a:ea typeface="ＭＳ 明朝" panose="02020609040205080304" pitchFamily="17" charset="-128"/>
            </a:rPr>
            <a:t>（注）</a:t>
          </a:r>
          <a:r>
            <a:rPr kumimoji="1" lang="en-US" altLang="ja-JP" sz="750">
              <a:latin typeface="ＭＳ 明朝" panose="02020609040205080304" pitchFamily="17" charset="-128"/>
              <a:ea typeface="ＭＳ 明朝" panose="02020609040205080304" pitchFamily="17" charset="-128"/>
            </a:rPr>
            <a:t>1 </a:t>
          </a:r>
          <a:r>
            <a:rPr kumimoji="1" lang="ja-JP" altLang="en-US" sz="750">
              <a:latin typeface="ＭＳ 明朝" panose="02020609040205080304" pitchFamily="17" charset="-128"/>
              <a:ea typeface="ＭＳ 明朝" panose="02020609040205080304" pitchFamily="17" charset="-128"/>
            </a:rPr>
            <a:t> </a:t>
          </a:r>
          <a:r>
            <a:rPr kumimoji="1" lang="en-US" altLang="ja-JP" sz="750">
              <a:latin typeface="ＭＳ 明朝" panose="02020609040205080304" pitchFamily="17" charset="-128"/>
              <a:ea typeface="ＭＳ 明朝" panose="02020609040205080304" pitchFamily="17" charset="-128"/>
            </a:rPr>
            <a:t>5</a:t>
          </a:r>
          <a:r>
            <a:rPr kumimoji="1" lang="ja-JP" altLang="en-US" sz="750">
              <a:latin typeface="ＭＳ 明朝" panose="02020609040205080304" pitchFamily="17" charset="-128"/>
              <a:ea typeface="ＭＳ 明朝" panose="02020609040205080304" pitchFamily="17" charset="-128"/>
            </a:rPr>
            <a:t>－</a:t>
          </a:r>
          <a:r>
            <a:rPr kumimoji="1" lang="en-US" altLang="ja-JP" sz="750">
              <a:latin typeface="ＭＳ 明朝" panose="02020609040205080304" pitchFamily="17" charset="-128"/>
              <a:ea typeface="ＭＳ 明朝" panose="02020609040205080304" pitchFamily="17" charset="-128"/>
            </a:rPr>
            <a:t>1 </a:t>
          </a:r>
          <a:r>
            <a:rPr kumimoji="1" lang="ja-JP" altLang="en-US" sz="750">
              <a:latin typeface="ＭＳ 明朝" panose="02020609040205080304" pitchFamily="17" charset="-128"/>
              <a:ea typeface="ＭＳ 明朝" panose="02020609040205080304" pitchFamily="17" charset="-128"/>
            </a:rPr>
            <a:t>の「間口が狭小な宅地等」と</a:t>
          </a:r>
          <a:r>
            <a:rPr kumimoji="1" lang="en-US" altLang="ja-JP" sz="750">
              <a:latin typeface="ＭＳ 明朝" panose="02020609040205080304" pitchFamily="17" charset="-128"/>
              <a:ea typeface="ＭＳ 明朝" panose="02020609040205080304" pitchFamily="17" charset="-128"/>
            </a:rPr>
            <a:t>5</a:t>
          </a:r>
          <a:r>
            <a:rPr kumimoji="1" lang="ja-JP" altLang="en-US" sz="750">
              <a:latin typeface="ＭＳ 明朝" panose="02020609040205080304" pitchFamily="17" charset="-128"/>
              <a:ea typeface="ＭＳ 明朝" panose="02020609040205080304" pitchFamily="17" charset="-128"/>
            </a:rPr>
            <a:t>－</a:t>
          </a:r>
          <a:r>
            <a:rPr kumimoji="1" lang="en-US" altLang="ja-JP" sz="750">
              <a:latin typeface="ＭＳ 明朝" panose="02020609040205080304" pitchFamily="17" charset="-128"/>
              <a:ea typeface="ＭＳ 明朝" panose="02020609040205080304" pitchFamily="17" charset="-128"/>
            </a:rPr>
            <a:t>2 </a:t>
          </a:r>
          <a:r>
            <a:rPr kumimoji="1" lang="ja-JP" altLang="en-US" sz="750">
              <a:latin typeface="ＭＳ 明朝" panose="02020609040205080304" pitchFamily="17" charset="-128"/>
              <a:ea typeface="ＭＳ 明朝" panose="02020609040205080304" pitchFamily="17" charset="-128"/>
            </a:rPr>
            <a:t>の「不整形地」は重複して適用できません。</a:t>
          </a:r>
        </a:p>
        <a:p>
          <a:r>
            <a:rPr kumimoji="1" lang="ja-JP" altLang="en-US" sz="750">
              <a:latin typeface="ＭＳ 明朝" panose="02020609040205080304" pitchFamily="17" charset="-128"/>
              <a:ea typeface="ＭＳ 明朝" panose="02020609040205080304" pitchFamily="17" charset="-128"/>
            </a:rPr>
            <a:t>　　　</a:t>
          </a:r>
          <a:r>
            <a:rPr kumimoji="1" lang="en-US" altLang="ja-JP" sz="750">
              <a:latin typeface="ＭＳ 明朝" panose="02020609040205080304" pitchFamily="17" charset="-128"/>
              <a:ea typeface="ＭＳ 明朝" panose="02020609040205080304" pitchFamily="17" charset="-128"/>
            </a:rPr>
            <a:t>2 </a:t>
          </a:r>
          <a:r>
            <a:rPr kumimoji="1" lang="ja-JP" altLang="en-US" sz="750">
              <a:latin typeface="ＭＳ 明朝" panose="02020609040205080304" pitchFamily="17" charset="-128"/>
              <a:ea typeface="ＭＳ 明朝" panose="02020609040205080304" pitchFamily="17" charset="-128"/>
            </a:rPr>
            <a:t> </a:t>
          </a:r>
          <a:r>
            <a:rPr kumimoji="1" lang="en-US" altLang="ja-JP" sz="750">
              <a:latin typeface="ＭＳ 明朝" panose="02020609040205080304" pitchFamily="17" charset="-128"/>
              <a:ea typeface="ＭＳ 明朝" panose="02020609040205080304" pitchFamily="17" charset="-128"/>
            </a:rPr>
            <a:t>5</a:t>
          </a:r>
          <a:r>
            <a:rPr kumimoji="1" lang="ja-JP" altLang="en-US" sz="750">
              <a:latin typeface="ＭＳ 明朝" panose="02020609040205080304" pitchFamily="17" charset="-128"/>
              <a:ea typeface="ＭＳ 明朝" panose="02020609040205080304" pitchFamily="17" charset="-128"/>
            </a:rPr>
            <a:t>－</a:t>
          </a:r>
          <a:r>
            <a:rPr kumimoji="1" lang="en-US" altLang="ja-JP" sz="750">
              <a:latin typeface="ＭＳ 明朝" panose="02020609040205080304" pitchFamily="17" charset="-128"/>
              <a:ea typeface="ＭＳ 明朝" panose="02020609040205080304" pitchFamily="17" charset="-128"/>
            </a:rPr>
            <a:t>2</a:t>
          </a:r>
          <a:r>
            <a:rPr kumimoji="1" lang="ja-JP" altLang="en-US" sz="750">
              <a:latin typeface="ＭＳ 明朝" panose="02020609040205080304" pitchFamily="17" charset="-128"/>
              <a:ea typeface="ＭＳ 明朝" panose="02020609040205080304" pitchFamily="17" charset="-128"/>
            </a:rPr>
            <a:t>の「不整形地」の「ＡからＤまでのうち該当するもの」欄の価額について、ＡからＤまでの欄で計算できない場合には、（第</a:t>
          </a:r>
          <a:r>
            <a:rPr kumimoji="1" lang="en-US" altLang="ja-JP" sz="750">
              <a:latin typeface="ＭＳ 明朝" panose="02020609040205080304" pitchFamily="17" charset="-128"/>
              <a:ea typeface="ＭＳ 明朝" panose="02020609040205080304" pitchFamily="17" charset="-128"/>
            </a:rPr>
            <a:t>2</a:t>
          </a:r>
          <a:r>
            <a:rPr kumimoji="1" lang="ja-JP" altLang="en-US" sz="750">
              <a:latin typeface="ＭＳ 明朝" panose="02020609040205080304" pitchFamily="17" charset="-128"/>
              <a:ea typeface="ＭＳ 明朝" panose="02020609040205080304" pitchFamily="17" charset="-128"/>
            </a:rPr>
            <a:t>表）の</a:t>
          </a:r>
        </a:p>
        <a:p>
          <a:r>
            <a:rPr kumimoji="1" lang="ja-JP" altLang="en-US" sz="750">
              <a:latin typeface="ＭＳ 明朝" panose="02020609040205080304" pitchFamily="17" charset="-128"/>
              <a:ea typeface="ＭＳ 明朝" panose="02020609040205080304" pitchFamily="17" charset="-128"/>
            </a:rPr>
            <a:t>　　　 「備考」欄等で計算してください。</a:t>
          </a:r>
          <a:endParaRPr kumimoji="1" lang="en-US" altLang="ja-JP" sz="750">
            <a:latin typeface="ＭＳ 明朝" panose="02020609040205080304" pitchFamily="17" charset="-128"/>
            <a:ea typeface="ＭＳ 明朝" panose="02020609040205080304" pitchFamily="17" charset="-128"/>
          </a:endParaRPr>
        </a:p>
        <a:p>
          <a:r>
            <a:rPr kumimoji="1" lang="ja-JP" altLang="en-US" sz="750">
              <a:latin typeface="ＭＳ 明朝" panose="02020609040205080304" pitchFamily="17" charset="-128"/>
              <a:ea typeface="ＭＳ 明朝" panose="02020609040205080304" pitchFamily="17" charset="-128"/>
            </a:rPr>
            <a:t>　　　</a:t>
          </a:r>
          <a:r>
            <a:rPr kumimoji="1" lang="en-US" altLang="ja-JP" sz="750">
              <a:latin typeface="ＭＳ 明朝" panose="02020609040205080304" pitchFamily="17" charset="-128"/>
              <a:ea typeface="ＭＳ 明朝" panose="02020609040205080304" pitchFamily="17" charset="-128"/>
            </a:rPr>
            <a:t>3 </a:t>
          </a:r>
          <a:r>
            <a:rPr kumimoji="1" lang="ja-JP" altLang="en-US" sz="750">
              <a:latin typeface="ＭＳ 明朝" panose="02020609040205080304" pitchFamily="17" charset="-128"/>
              <a:ea typeface="ＭＳ 明朝" panose="02020609040205080304" pitchFamily="17" charset="-128"/>
            </a:rPr>
            <a:t>「がけ地等を有する宅地」であり、かつ、「土砂災害特別警戒区域内にある宅地」である場合については、</a:t>
          </a:r>
          <a:r>
            <a:rPr kumimoji="1" lang="en-US" altLang="ja-JP" sz="750">
              <a:latin typeface="ＭＳ 明朝" panose="02020609040205080304" pitchFamily="17" charset="-128"/>
              <a:ea typeface="ＭＳ 明朝" panose="02020609040205080304" pitchFamily="17" charset="-128"/>
            </a:rPr>
            <a:t>8-1 </a:t>
          </a:r>
          <a:r>
            <a:rPr kumimoji="1" lang="ja-JP" altLang="en-US" sz="750">
              <a:latin typeface="ＭＳ 明朝" panose="02020609040205080304" pitchFamily="17" charset="-128"/>
              <a:ea typeface="ＭＳ 明朝" panose="02020609040205080304" pitchFamily="17" charset="-128"/>
            </a:rPr>
            <a:t>の「がけ地等を有する宅地」</a:t>
          </a:r>
        </a:p>
        <a:p>
          <a:r>
            <a:rPr kumimoji="1" lang="ja-JP" altLang="en-US" sz="750">
              <a:latin typeface="ＭＳ 明朝" panose="02020609040205080304" pitchFamily="17" charset="-128"/>
              <a:ea typeface="ＭＳ 明朝" panose="02020609040205080304" pitchFamily="17" charset="-128"/>
            </a:rPr>
            <a:t>　　　 欄ではなく、</a:t>
          </a:r>
          <a:r>
            <a:rPr kumimoji="1" lang="en-US" altLang="ja-JP" sz="750">
              <a:latin typeface="ＭＳ 明朝" panose="02020609040205080304" pitchFamily="17" charset="-128"/>
              <a:ea typeface="ＭＳ 明朝" panose="02020609040205080304" pitchFamily="17" charset="-128"/>
            </a:rPr>
            <a:t>8-2 </a:t>
          </a:r>
          <a:r>
            <a:rPr kumimoji="1" lang="ja-JP" altLang="en-US" sz="750">
              <a:latin typeface="ＭＳ 明朝" panose="02020609040205080304" pitchFamily="17" charset="-128"/>
              <a:ea typeface="ＭＳ 明朝" panose="02020609040205080304" pitchFamily="17" charset="-128"/>
            </a:rPr>
            <a:t>の「土砂災害特別警戒区域内にある宅地」欄で計算してください。</a:t>
          </a:r>
        </a:p>
      </xdr:txBody>
    </xdr:sp>
    <xdr:clientData/>
  </xdr:twoCellAnchor>
  <xdr:twoCellAnchor>
    <xdr:from>
      <xdr:col>13</xdr:col>
      <xdr:colOff>217714</xdr:colOff>
      <xdr:row>18</xdr:row>
      <xdr:rowOff>34016</xdr:rowOff>
    </xdr:from>
    <xdr:to>
      <xdr:col>15</xdr:col>
      <xdr:colOff>163284</xdr:colOff>
      <xdr:row>19</xdr:row>
      <xdr:rowOff>68035</xdr:rowOff>
    </xdr:to>
    <xdr:sp macro="" textlink="">
      <xdr:nvSpPr>
        <xdr:cNvPr id="5" name="テキスト ボックス 4"/>
        <xdr:cNvSpPr txBox="1"/>
      </xdr:nvSpPr>
      <xdr:spPr>
        <a:xfrm>
          <a:off x="2619375" y="3129641"/>
          <a:ext cx="449034" cy="197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準角地</a:t>
          </a:r>
        </a:p>
      </xdr:txBody>
    </xdr:sp>
    <xdr:clientData/>
  </xdr:twoCellAnchor>
  <xdr:twoCellAnchor>
    <xdr:from>
      <xdr:col>17</xdr:col>
      <xdr:colOff>170090</xdr:colOff>
      <xdr:row>18</xdr:row>
      <xdr:rowOff>34016</xdr:rowOff>
    </xdr:from>
    <xdr:to>
      <xdr:col>19</xdr:col>
      <xdr:colOff>190501</xdr:colOff>
      <xdr:row>19</xdr:row>
      <xdr:rowOff>68035</xdr:rowOff>
    </xdr:to>
    <xdr:sp macro="" textlink="">
      <xdr:nvSpPr>
        <xdr:cNvPr id="80" name="テキスト ボックス 79"/>
        <xdr:cNvSpPr txBox="1"/>
      </xdr:nvSpPr>
      <xdr:spPr>
        <a:xfrm>
          <a:off x="3551465" y="3129641"/>
          <a:ext cx="442232" cy="197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準角地</a:t>
          </a:r>
        </a:p>
      </xdr:txBody>
    </xdr:sp>
    <xdr:clientData/>
  </xdr:twoCellAnchor>
  <xdr:twoCellAnchor>
    <xdr:from>
      <xdr:col>38</xdr:col>
      <xdr:colOff>538842</xdr:colOff>
      <xdr:row>14</xdr:row>
      <xdr:rowOff>42181</xdr:rowOff>
    </xdr:from>
    <xdr:to>
      <xdr:col>47</xdr:col>
      <xdr:colOff>228599</xdr:colOff>
      <xdr:row>17</xdr:row>
      <xdr:rowOff>137431</xdr:rowOff>
    </xdr:to>
    <xdr:sp macro="" textlink="">
      <xdr:nvSpPr>
        <xdr:cNvPr id="81" name="テキスト ボックス 80"/>
        <xdr:cNvSpPr txBox="1"/>
      </xdr:nvSpPr>
      <xdr:spPr>
        <a:xfrm>
          <a:off x="7934324" y="2552699"/>
          <a:ext cx="2397579" cy="53748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画面上の文字が潰れて見えない時（</a:t>
          </a:r>
          <a:r>
            <a:rPr kumimoji="1" lang="en-US" altLang="ja-JP" sz="800"/>
            <a:t>####</a:t>
          </a:r>
          <a:r>
            <a:rPr kumimoji="1" lang="ja-JP" altLang="en-US" sz="800"/>
            <a:t>）は</a:t>
          </a:r>
          <a:endParaRPr kumimoji="1" lang="en-US" altLang="ja-JP" sz="800"/>
        </a:p>
        <a:p>
          <a:r>
            <a:rPr kumimoji="1" lang="ja-JP" altLang="en-US" sz="800"/>
            <a:t>表示倍率を大きくしてみてください</a:t>
          </a:r>
          <a:endParaRPr kumimoji="1" lang="en-US" altLang="ja-JP" sz="800"/>
        </a:p>
        <a:p>
          <a:r>
            <a:rPr kumimoji="1" lang="en-US" altLang="ja-JP" sz="800"/>
            <a:t>【</a:t>
          </a:r>
          <a:r>
            <a:rPr kumimoji="1" lang="ja-JP" altLang="en-US" sz="800"/>
            <a:t>エクセル画面右下等のボタン</a:t>
          </a:r>
          <a:r>
            <a:rPr kumimoji="1" lang="en-US" altLang="ja-JP" sz="800"/>
            <a:t>】</a:t>
          </a:r>
        </a:p>
      </xdr:txBody>
    </xdr:sp>
    <xdr:clientData/>
  </xdr:twoCellAnchor>
  <xdr:twoCellAnchor editAs="oneCell">
    <xdr:from>
      <xdr:col>38</xdr:col>
      <xdr:colOff>571500</xdr:colOff>
      <xdr:row>18</xdr:row>
      <xdr:rowOff>48986</xdr:rowOff>
    </xdr:from>
    <xdr:to>
      <xdr:col>46</xdr:col>
      <xdr:colOff>370115</xdr:colOff>
      <xdr:row>22</xdr:row>
      <xdr:rowOff>23706</xdr:rowOff>
    </xdr:to>
    <xdr:pic>
      <xdr:nvPicPr>
        <xdr:cNvPr id="82" name="図 8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55329" y="3096986"/>
          <a:ext cx="1600200" cy="557106"/>
        </a:xfrm>
        <a:prstGeom prst="rect">
          <a:avLst/>
        </a:prstGeom>
      </xdr:spPr>
    </xdr:pic>
    <xdr:clientData/>
  </xdr:twoCellAnchor>
  <xdr:twoCellAnchor editAs="oneCell">
    <xdr:from>
      <xdr:col>38</xdr:col>
      <xdr:colOff>582385</xdr:colOff>
      <xdr:row>22</xdr:row>
      <xdr:rowOff>108857</xdr:rowOff>
    </xdr:from>
    <xdr:to>
      <xdr:col>46</xdr:col>
      <xdr:colOff>457199</xdr:colOff>
      <xdr:row>27</xdr:row>
      <xdr:rowOff>35755</xdr:rowOff>
    </xdr:to>
    <xdr:pic>
      <xdr:nvPicPr>
        <xdr:cNvPr id="83" name="図 8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66214" y="3739243"/>
          <a:ext cx="1676399" cy="618141"/>
        </a:xfrm>
        <a:prstGeom prst="rect">
          <a:avLst/>
        </a:prstGeom>
      </xdr:spPr>
    </xdr:pic>
    <xdr:clientData/>
  </xdr:twoCellAnchor>
  <xdr:twoCellAnchor>
    <xdr:from>
      <xdr:col>38</xdr:col>
      <xdr:colOff>538840</xdr:colOff>
      <xdr:row>10</xdr:row>
      <xdr:rowOff>76198</xdr:rowOff>
    </xdr:from>
    <xdr:to>
      <xdr:col>47</xdr:col>
      <xdr:colOff>311603</xdr:colOff>
      <xdr:row>13</xdr:row>
      <xdr:rowOff>14966</xdr:rowOff>
    </xdr:to>
    <xdr:sp macro="" textlink="">
      <xdr:nvSpPr>
        <xdr:cNvPr id="84" name="テキスト ボックス 83"/>
        <xdr:cNvSpPr txBox="1"/>
      </xdr:nvSpPr>
      <xdr:spPr>
        <a:xfrm>
          <a:off x="7934322" y="1838323"/>
          <a:ext cx="2480585" cy="53748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印刷時の文字が潰れて見えない時（</a:t>
          </a:r>
          <a:r>
            <a:rPr kumimoji="1" lang="en-US" altLang="ja-JP" sz="800"/>
            <a:t>####</a:t>
          </a:r>
          <a:r>
            <a:rPr kumimoji="1" lang="ja-JP" altLang="en-US" sz="800"/>
            <a:t>）は</a:t>
          </a:r>
          <a:endParaRPr kumimoji="1" lang="en-US" altLang="ja-JP" sz="800"/>
        </a:p>
        <a:p>
          <a:r>
            <a:rPr kumimoji="1" lang="ja-JP" altLang="en-US" sz="800"/>
            <a:t>「拡大縮小印刷」設定で、拡大</a:t>
          </a:r>
          <a:r>
            <a:rPr kumimoji="1" lang="en-US" altLang="ja-JP" sz="800"/>
            <a:t>/</a:t>
          </a:r>
          <a:r>
            <a:rPr kumimoji="1" lang="ja-JP" altLang="en-US" sz="800"/>
            <a:t>縮小の割合を</a:t>
          </a:r>
          <a:endParaRPr kumimoji="1" lang="en-US" altLang="ja-JP" sz="800"/>
        </a:p>
        <a:p>
          <a:r>
            <a:rPr kumimoji="1" lang="ja-JP" altLang="en-US" sz="800"/>
            <a:t>少し小さくしてみてください</a:t>
          </a:r>
          <a:endParaRPr kumimoji="1" lang="en-US" altLang="ja-JP" sz="800"/>
        </a:p>
      </xdr:txBody>
    </xdr:sp>
    <xdr:clientData/>
  </xdr:twoCellAnchor>
  <xdr:twoCellAnchor>
    <xdr:from>
      <xdr:col>38</xdr:col>
      <xdr:colOff>394608</xdr:colOff>
      <xdr:row>0</xdr:row>
      <xdr:rowOff>74839</xdr:rowOff>
    </xdr:from>
    <xdr:to>
      <xdr:col>47</xdr:col>
      <xdr:colOff>346982</xdr:colOff>
      <xdr:row>5</xdr:row>
      <xdr:rowOff>0</xdr:rowOff>
    </xdr:to>
    <xdr:sp macro="" textlink="">
      <xdr:nvSpPr>
        <xdr:cNvPr id="85" name="テキスト ボックス 84"/>
        <xdr:cNvSpPr txBox="1"/>
      </xdr:nvSpPr>
      <xdr:spPr>
        <a:xfrm>
          <a:off x="7790090" y="74839"/>
          <a:ext cx="2660196" cy="700768"/>
        </a:xfrm>
        <a:prstGeom prst="rect">
          <a:avLst/>
        </a:prstGeom>
        <a:solidFill>
          <a:srgbClr val="FF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latin typeface="+mj-ea"/>
              <a:ea typeface="+mj-ea"/>
            </a:rPr>
            <a:t>この</a:t>
          </a:r>
          <a:r>
            <a:rPr kumimoji="1" lang="en-US" altLang="ja-JP" sz="900">
              <a:latin typeface="+mj-ea"/>
              <a:ea typeface="+mj-ea"/>
            </a:rPr>
            <a:t>Excel</a:t>
          </a:r>
          <a:r>
            <a:rPr kumimoji="1" lang="ja-JP" altLang="en-US" sz="900">
              <a:latin typeface="+mj-ea"/>
              <a:ea typeface="+mj-ea"/>
            </a:rPr>
            <a:t>土地評価明細書は</a:t>
          </a:r>
          <a:r>
            <a:rPr kumimoji="1" lang="ja-JP" altLang="en-US" sz="900" b="1">
              <a:solidFill>
                <a:srgbClr val="FF0000"/>
              </a:solidFill>
              <a:latin typeface="+mj-ea"/>
              <a:ea typeface="+mj-ea"/>
            </a:rPr>
            <a:t>令和３年分以降用</a:t>
          </a:r>
          <a:r>
            <a:rPr kumimoji="1" lang="ja-JP" altLang="en-US" sz="900">
              <a:latin typeface="+mj-ea"/>
              <a:ea typeface="+mj-ea"/>
            </a:rPr>
            <a:t>です</a:t>
          </a:r>
          <a:endParaRPr kumimoji="1" lang="en-US" altLang="ja-JP" sz="900">
            <a:latin typeface="+mj-ea"/>
            <a:ea typeface="+mj-ea"/>
          </a:endParaRPr>
        </a:p>
        <a:p>
          <a:r>
            <a:rPr kumimoji="1" lang="ja-JP" altLang="en-US" sz="800">
              <a:latin typeface="+mj-ea"/>
              <a:ea typeface="+mj-ea"/>
            </a:rPr>
            <a:t>（様式自体は平成</a:t>
          </a:r>
          <a:r>
            <a:rPr kumimoji="1" lang="en-US" altLang="ja-JP" sz="800">
              <a:latin typeface="+mj-ea"/>
              <a:ea typeface="+mj-ea"/>
            </a:rPr>
            <a:t>31</a:t>
          </a:r>
          <a:r>
            <a:rPr kumimoji="1" lang="ja-JP" altLang="en-US" sz="800">
              <a:latin typeface="+mj-ea"/>
              <a:ea typeface="+mj-ea"/>
            </a:rPr>
            <a:t>年１月分以降用のものですが、一部の補正率が令和３年以降のもので設定してあります）</a:t>
          </a:r>
          <a:endParaRPr kumimoji="1" lang="en-US" altLang="ja-JP" sz="800">
            <a:latin typeface="+mj-ea"/>
            <a:ea typeface="+mj-ea"/>
          </a:endParaRPr>
        </a:p>
        <a:p>
          <a:r>
            <a:rPr kumimoji="1" lang="en-US" altLang="ja-JP" sz="800">
              <a:latin typeface="+mj-ea"/>
              <a:ea typeface="+mj-ea"/>
            </a:rPr>
            <a:t>※</a:t>
          </a:r>
          <a:r>
            <a:rPr kumimoji="1" lang="ja-JP" altLang="en-US" sz="800">
              <a:latin typeface="+mj-ea"/>
              <a:ea typeface="+mj-ea"/>
            </a:rPr>
            <a:t>令和２年分以前の評価には使用できません</a:t>
          </a:r>
          <a:endParaRPr kumimoji="1" lang="en-US" altLang="ja-JP" sz="800">
            <a:latin typeface="+mj-ea"/>
            <a:ea typeface="+mj-ea"/>
          </a:endParaRPr>
        </a:p>
      </xdr:txBody>
    </xdr:sp>
    <xdr:clientData/>
  </xdr:twoCellAnchor>
  <xdr:oneCellAnchor>
    <xdr:from>
      <xdr:col>11</xdr:col>
      <xdr:colOff>27214</xdr:colOff>
      <xdr:row>44</xdr:row>
      <xdr:rowOff>136072</xdr:rowOff>
    </xdr:from>
    <xdr:ext cx="2733826" cy="1192634"/>
    <xdr:sp macro="" textlink="">
      <xdr:nvSpPr>
        <xdr:cNvPr id="86" name="正方形/長方形 85"/>
        <xdr:cNvSpPr/>
      </xdr:nvSpPr>
      <xdr:spPr>
        <a:xfrm>
          <a:off x="2061482" y="7007679"/>
          <a:ext cx="2733826" cy="1192634"/>
        </a:xfrm>
        <a:prstGeom prst="rect">
          <a:avLst/>
        </a:prstGeom>
        <a:noFill/>
      </xdr:spPr>
      <xdr:txBody>
        <a:bodyPr wrap="none" lIns="91440" tIns="45720" rIns="91440" bIns="45720">
          <a:spAutoFit/>
        </a:bodyPr>
        <a:lstStyle/>
        <a:p>
          <a:pPr algn="ctr"/>
          <a:r>
            <a:rPr lang="ja-JP" altLang="en-US" sz="6600" b="1" cap="none" spc="0">
              <a:ln w="12700">
                <a:solidFill>
                  <a:schemeClr val="accent2">
                    <a:lumMod val="50000"/>
                    <a:alpha val="30000"/>
                  </a:schemeClr>
                </a:solidFill>
                <a:prstDash val="solid"/>
              </a:ln>
              <a:solidFill>
                <a:schemeClr val="accent2">
                  <a:lumMod val="50000"/>
                  <a:alpha val="40000"/>
                </a:schemeClr>
              </a:solidFill>
              <a:effectLst/>
            </a:rPr>
            <a:t>試用版</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8</xdr:col>
      <xdr:colOff>247650</xdr:colOff>
      <xdr:row>2</xdr:row>
      <xdr:rowOff>13606</xdr:rowOff>
    </xdr:from>
    <xdr:to>
      <xdr:col>20</xdr:col>
      <xdr:colOff>171450</xdr:colOff>
      <xdr:row>4</xdr:row>
      <xdr:rowOff>123824</xdr:rowOff>
    </xdr:to>
    <xdr:sp macro="" textlink="">
      <xdr:nvSpPr>
        <xdr:cNvPr id="2512" name="大かっこ 3"/>
        <xdr:cNvSpPr>
          <a:spLocks noChangeArrowheads="1"/>
        </xdr:cNvSpPr>
      </xdr:nvSpPr>
      <xdr:spPr bwMode="auto">
        <a:xfrm>
          <a:off x="1975757" y="455838"/>
          <a:ext cx="2815318" cy="321129"/>
        </a:xfrm>
        <a:prstGeom prst="bracketPair">
          <a:avLst>
            <a:gd name="adj" fmla="val 22120"/>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xdr:row>
      <xdr:rowOff>0</xdr:rowOff>
    </xdr:from>
    <xdr:to>
      <xdr:col>25</xdr:col>
      <xdr:colOff>0</xdr:colOff>
      <xdr:row>7</xdr:row>
      <xdr:rowOff>0</xdr:rowOff>
    </xdr:to>
    <xdr:sp macro="" textlink="">
      <xdr:nvSpPr>
        <xdr:cNvPr id="2514" name="正方形/長方形 5"/>
        <xdr:cNvSpPr>
          <a:spLocks noChangeArrowheads="1"/>
        </xdr:cNvSpPr>
      </xdr:nvSpPr>
      <xdr:spPr bwMode="auto">
        <a:xfrm>
          <a:off x="66675" y="895350"/>
          <a:ext cx="6619875" cy="1009650"/>
        </a:xfrm>
        <a:prstGeom prst="rect">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xdr:row>
      <xdr:rowOff>0</xdr:rowOff>
    </xdr:from>
    <xdr:to>
      <xdr:col>25</xdr:col>
      <xdr:colOff>0</xdr:colOff>
      <xdr:row>14</xdr:row>
      <xdr:rowOff>0</xdr:rowOff>
    </xdr:to>
    <xdr:sp macro="" textlink="">
      <xdr:nvSpPr>
        <xdr:cNvPr id="2515" name="正方形/長方形 6"/>
        <xdr:cNvSpPr>
          <a:spLocks noChangeArrowheads="1"/>
        </xdr:cNvSpPr>
      </xdr:nvSpPr>
      <xdr:spPr bwMode="auto">
        <a:xfrm>
          <a:off x="66675" y="1962150"/>
          <a:ext cx="6619875" cy="990600"/>
        </a:xfrm>
        <a:prstGeom prst="rect">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15</xdr:row>
      <xdr:rowOff>0</xdr:rowOff>
    </xdr:from>
    <xdr:to>
      <xdr:col>25</xdr:col>
      <xdr:colOff>0</xdr:colOff>
      <xdr:row>58</xdr:row>
      <xdr:rowOff>0</xdr:rowOff>
    </xdr:to>
    <xdr:sp macro="" textlink="">
      <xdr:nvSpPr>
        <xdr:cNvPr id="2516" name="正方形/長方形 7"/>
        <xdr:cNvSpPr>
          <a:spLocks noChangeArrowheads="1"/>
        </xdr:cNvSpPr>
      </xdr:nvSpPr>
      <xdr:spPr bwMode="auto">
        <a:xfrm>
          <a:off x="66675" y="3009900"/>
          <a:ext cx="6619875" cy="6905625"/>
        </a:xfrm>
        <a:prstGeom prst="rect">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26</xdr:col>
          <xdr:colOff>219075</xdr:colOff>
          <xdr:row>10</xdr:row>
          <xdr:rowOff>0</xdr:rowOff>
        </xdr:from>
        <xdr:to>
          <xdr:col>26</xdr:col>
          <xdr:colOff>523875</xdr:colOff>
          <xdr:row>11</xdr:row>
          <xdr:rowOff>28575</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231322</xdr:colOff>
      <xdr:row>8</xdr:row>
      <xdr:rowOff>129267</xdr:rowOff>
    </xdr:from>
    <xdr:ext cx="2733826" cy="1192634"/>
    <xdr:sp macro="" textlink="">
      <xdr:nvSpPr>
        <xdr:cNvPr id="7" name="正方形/長方形 6"/>
        <xdr:cNvSpPr/>
      </xdr:nvSpPr>
      <xdr:spPr>
        <a:xfrm>
          <a:off x="1959429" y="1483178"/>
          <a:ext cx="2733826" cy="1192634"/>
        </a:xfrm>
        <a:prstGeom prst="rect">
          <a:avLst/>
        </a:prstGeom>
        <a:noFill/>
      </xdr:spPr>
      <xdr:txBody>
        <a:bodyPr wrap="none" lIns="91440" tIns="45720" rIns="91440" bIns="45720">
          <a:spAutoFit/>
        </a:bodyPr>
        <a:lstStyle/>
        <a:p>
          <a:pPr algn="ctr"/>
          <a:r>
            <a:rPr lang="ja-JP" altLang="en-US" sz="6600" b="1" cap="none" spc="0">
              <a:ln w="12700">
                <a:solidFill>
                  <a:schemeClr val="accent2">
                    <a:lumMod val="50000"/>
                    <a:alpha val="30000"/>
                  </a:schemeClr>
                </a:solidFill>
                <a:prstDash val="solid"/>
              </a:ln>
              <a:solidFill>
                <a:schemeClr val="accent2">
                  <a:lumMod val="50000"/>
                  <a:alpha val="40000"/>
                </a:schemeClr>
              </a:solidFill>
              <a:effectLst/>
            </a:rPr>
            <a:t>試用版</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xcel-sozoku.jimdo.com/&#12502;&#12525;&#12464;/" TargetMode="External"/><Relationship Id="rId1" Type="http://schemas.openxmlformats.org/officeDocument/2006/relationships/hyperlink" Target="https://excel-sozoku.jimdo.com/2020/05/10/%E3%82%84%E3%81%95%E3%81%97%E3%81%84%E8%B2%A1%E7%94%A3%E8%A9%95%E4%BE%A1%E5%85%A5%E9%96%80%E2%91%A9-%E5%81%B4%E6%96%B9-%E4%BA%8C%E6%96%B9-%E8%B7%AF%E7%B7%9A%E5%BD%B1%E9%9F%BF%E5%8A%A0%E7%AE%97%E3%81%AE%E6%B3%A8%E6"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ED03"/>
  </sheetPr>
  <dimension ref="B1:S169"/>
  <sheetViews>
    <sheetView showGridLines="0" showRowColHeaders="0" zoomScaleNormal="100" workbookViewId="0">
      <selection activeCell="B1" sqref="B1:M1"/>
    </sheetView>
  </sheetViews>
  <sheetFormatPr defaultColWidth="9" defaultRowHeight="13.5"/>
  <cols>
    <col min="1" max="1" width="4.25" style="234" customWidth="1"/>
    <col min="2" max="2" width="4.625" style="234" customWidth="1"/>
    <col min="3" max="3" width="1.625" style="234" customWidth="1"/>
    <col min="4" max="4" width="4.875" style="234" customWidth="1"/>
    <col min="5" max="5" width="1.625" style="234" customWidth="1"/>
    <col min="6" max="6" width="9" style="234"/>
    <col min="7" max="7" width="12.875" style="234" customWidth="1"/>
    <col min="8" max="10" width="9" style="234"/>
    <col min="11" max="11" width="11.75" style="234" customWidth="1"/>
    <col min="12" max="16384" width="9" style="234"/>
  </cols>
  <sheetData>
    <row r="1" spans="2:13" ht="35.25" customHeight="1">
      <c r="B1" s="338" t="s">
        <v>602</v>
      </c>
      <c r="C1" s="338"/>
      <c r="D1" s="338"/>
      <c r="E1" s="338"/>
      <c r="F1" s="338"/>
      <c r="G1" s="338"/>
      <c r="H1" s="338"/>
      <c r="I1" s="338"/>
      <c r="J1" s="338"/>
      <c r="K1" s="338"/>
      <c r="L1" s="338"/>
      <c r="M1" s="338"/>
    </row>
    <row r="2" spans="2:13" ht="9" customHeight="1"/>
    <row r="3" spans="2:13" ht="21.75" customHeight="1">
      <c r="B3" s="257" t="s">
        <v>372</v>
      </c>
    </row>
    <row r="4" spans="2:13" ht="15" customHeight="1">
      <c r="B4" s="235" t="s">
        <v>374</v>
      </c>
      <c r="C4" s="249" t="s">
        <v>591</v>
      </c>
    </row>
    <row r="5" spans="2:13">
      <c r="B5" s="235"/>
      <c r="C5" s="250" t="s">
        <v>373</v>
      </c>
    </row>
    <row r="6" spans="2:13">
      <c r="B6" s="235"/>
      <c r="C6" s="249" t="s">
        <v>589</v>
      </c>
    </row>
    <row r="7" spans="2:13">
      <c r="B7" s="235"/>
      <c r="C7" s="250" t="s">
        <v>590</v>
      </c>
    </row>
    <row r="8" spans="2:13">
      <c r="B8" s="235"/>
      <c r="C8" s="319" t="s">
        <v>592</v>
      </c>
    </row>
    <row r="9" spans="2:13" ht="12" customHeight="1">
      <c r="B9" s="235"/>
    </row>
    <row r="10" spans="2:13" ht="13.5" customHeight="1">
      <c r="B10" s="235" t="s">
        <v>454</v>
      </c>
      <c r="C10" s="249" t="s">
        <v>455</v>
      </c>
    </row>
    <row r="11" spans="2:13" ht="13.5" customHeight="1">
      <c r="B11" s="235"/>
      <c r="C11" s="234" t="s">
        <v>456</v>
      </c>
    </row>
    <row r="12" spans="2:13" ht="12" customHeight="1">
      <c r="B12" s="235"/>
    </row>
    <row r="13" spans="2:13">
      <c r="B13" s="235" t="s">
        <v>380</v>
      </c>
      <c r="C13" s="234" t="s">
        <v>557</v>
      </c>
    </row>
    <row r="14" spans="2:13">
      <c r="B14" s="235"/>
      <c r="C14" s="234" t="s">
        <v>558</v>
      </c>
    </row>
    <row r="15" spans="2:13">
      <c r="B15" s="235"/>
      <c r="C15" s="234" t="s">
        <v>457</v>
      </c>
    </row>
    <row r="16" spans="2:13" ht="12" customHeight="1">
      <c r="B16" s="235"/>
    </row>
    <row r="17" spans="2:3" ht="13.5" customHeight="1">
      <c r="B17" s="235" t="s">
        <v>382</v>
      </c>
      <c r="C17" s="251" t="s">
        <v>458</v>
      </c>
    </row>
    <row r="18" spans="2:3" ht="13.5" customHeight="1">
      <c r="B18" s="235"/>
      <c r="C18" s="234" t="s">
        <v>459</v>
      </c>
    </row>
    <row r="19" spans="2:3" ht="13.5" customHeight="1">
      <c r="B19" s="235"/>
      <c r="C19" s="234" t="s">
        <v>460</v>
      </c>
    </row>
    <row r="20" spans="2:3">
      <c r="B20" s="235"/>
    </row>
    <row r="21" spans="2:3" ht="21.75" customHeight="1">
      <c r="B21" s="257" t="s">
        <v>376</v>
      </c>
    </row>
    <row r="22" spans="2:3">
      <c r="B22" s="235" t="s">
        <v>374</v>
      </c>
      <c r="C22" s="234" t="s">
        <v>465</v>
      </c>
    </row>
    <row r="23" spans="2:3">
      <c r="B23" s="235"/>
      <c r="C23" s="234" t="s">
        <v>404</v>
      </c>
    </row>
    <row r="24" spans="2:3">
      <c r="B24" s="235"/>
      <c r="C24" s="234" t="s">
        <v>405</v>
      </c>
    </row>
    <row r="25" spans="2:3" ht="12" customHeight="1">
      <c r="B25" s="235"/>
    </row>
    <row r="26" spans="2:3">
      <c r="B26" s="235" t="s">
        <v>375</v>
      </c>
      <c r="C26" s="234" t="s">
        <v>377</v>
      </c>
    </row>
    <row r="27" spans="2:3">
      <c r="B27" s="235"/>
      <c r="C27" s="234" t="s">
        <v>378</v>
      </c>
    </row>
    <row r="28" spans="2:3">
      <c r="B28" s="235"/>
      <c r="C28" s="234" t="s">
        <v>445</v>
      </c>
    </row>
    <row r="29" spans="2:3">
      <c r="B29" s="235"/>
      <c r="C29" s="234" t="s">
        <v>388</v>
      </c>
    </row>
    <row r="30" spans="2:3">
      <c r="B30" s="235"/>
      <c r="C30" s="234" t="s">
        <v>390</v>
      </c>
    </row>
    <row r="31" spans="2:3">
      <c r="C31" s="234" t="s">
        <v>389</v>
      </c>
    </row>
    <row r="32" spans="2:3" ht="12" customHeight="1"/>
    <row r="33" spans="2:6">
      <c r="B33" s="235" t="s">
        <v>380</v>
      </c>
      <c r="C33" s="234" t="s">
        <v>466</v>
      </c>
    </row>
    <row r="34" spans="2:6" ht="12" customHeight="1">
      <c r="B34" s="235"/>
    </row>
    <row r="35" spans="2:6">
      <c r="B35" s="235" t="s">
        <v>382</v>
      </c>
      <c r="C35" s="234" t="s">
        <v>379</v>
      </c>
    </row>
    <row r="36" spans="2:6" ht="12" customHeight="1">
      <c r="B36" s="235"/>
    </row>
    <row r="37" spans="2:6">
      <c r="B37" s="235" t="s">
        <v>383</v>
      </c>
      <c r="C37" s="234" t="s">
        <v>381</v>
      </c>
    </row>
    <row r="38" spans="2:6" ht="12" customHeight="1">
      <c r="B38" s="235"/>
    </row>
    <row r="39" spans="2:6">
      <c r="B39" s="235" t="s">
        <v>385</v>
      </c>
      <c r="C39" s="234" t="s">
        <v>386</v>
      </c>
    </row>
    <row r="40" spans="2:6" ht="12" customHeight="1">
      <c r="B40" s="235"/>
    </row>
    <row r="41" spans="2:6">
      <c r="B41" s="235" t="s">
        <v>387</v>
      </c>
      <c r="C41" s="234" t="s">
        <v>384</v>
      </c>
    </row>
    <row r="42" spans="2:6" ht="12" customHeight="1">
      <c r="B42" s="235"/>
    </row>
    <row r="43" spans="2:6">
      <c r="B43" s="235" t="s">
        <v>406</v>
      </c>
      <c r="C43" s="234" t="s">
        <v>392</v>
      </c>
    </row>
    <row r="44" spans="2:6">
      <c r="B44" s="235"/>
      <c r="C44" s="234" t="s">
        <v>393</v>
      </c>
    </row>
    <row r="46" spans="2:6" ht="21.75" customHeight="1">
      <c r="B46" s="257" t="s">
        <v>391</v>
      </c>
    </row>
    <row r="47" spans="2:6" ht="20.25" customHeight="1">
      <c r="B47" s="258" t="s">
        <v>394</v>
      </c>
      <c r="C47" s="257" t="s">
        <v>401</v>
      </c>
      <c r="D47" s="257"/>
    </row>
    <row r="48" spans="2:6">
      <c r="C48" s="237"/>
      <c r="D48" s="236"/>
      <c r="E48" s="237"/>
      <c r="F48" s="234" t="s">
        <v>396</v>
      </c>
    </row>
    <row r="49" spans="2:6">
      <c r="C49" s="237"/>
      <c r="E49" s="237"/>
      <c r="F49" s="234" t="s">
        <v>395</v>
      </c>
    </row>
    <row r="50" spans="2:6">
      <c r="C50" s="237"/>
      <c r="E50" s="237"/>
    </row>
    <row r="51" spans="2:6">
      <c r="D51" s="239"/>
      <c r="F51" s="234" t="s">
        <v>397</v>
      </c>
    </row>
    <row r="53" spans="2:6">
      <c r="D53" s="240"/>
      <c r="F53" s="234" t="s">
        <v>398</v>
      </c>
    </row>
    <row r="55" spans="2:6">
      <c r="D55" s="238"/>
      <c r="F55" s="234" t="s">
        <v>399</v>
      </c>
    </row>
    <row r="57" spans="2:6">
      <c r="F57" s="234" t="s">
        <v>400</v>
      </c>
    </row>
    <row r="59" spans="2:6" ht="20.25" customHeight="1">
      <c r="B59" s="258" t="s">
        <v>375</v>
      </c>
      <c r="C59" s="257" t="s">
        <v>402</v>
      </c>
      <c r="D59" s="257"/>
    </row>
    <row r="60" spans="2:6" ht="19.5" customHeight="1">
      <c r="C60" s="259" t="s">
        <v>407</v>
      </c>
    </row>
    <row r="77" spans="3:4">
      <c r="C77" s="246" t="s">
        <v>408</v>
      </c>
      <c r="D77" s="234" t="s">
        <v>487</v>
      </c>
    </row>
    <row r="78" spans="3:4" ht="8.25" customHeight="1">
      <c r="C78" s="246"/>
    </row>
    <row r="79" spans="3:4">
      <c r="C79" s="246" t="s">
        <v>408</v>
      </c>
      <c r="D79" s="234" t="s">
        <v>488</v>
      </c>
    </row>
    <row r="80" spans="3:4" ht="8.25" customHeight="1">
      <c r="C80" s="246"/>
    </row>
    <row r="81" spans="3:4">
      <c r="C81" s="246" t="s">
        <v>408</v>
      </c>
      <c r="D81" s="234" t="s">
        <v>479</v>
      </c>
    </row>
    <row r="82" spans="3:4" ht="8.25" customHeight="1">
      <c r="C82" s="246"/>
    </row>
    <row r="83" spans="3:4">
      <c r="C83" s="246" t="s">
        <v>408</v>
      </c>
      <c r="D83" s="234" t="s">
        <v>489</v>
      </c>
    </row>
    <row r="84" spans="3:4">
      <c r="C84" s="246"/>
      <c r="D84" s="234" t="s">
        <v>480</v>
      </c>
    </row>
    <row r="85" spans="3:4" ht="8.25" customHeight="1">
      <c r="C85" s="246"/>
    </row>
    <row r="86" spans="3:4">
      <c r="C86" s="246" t="s">
        <v>408</v>
      </c>
      <c r="D86" s="234" t="s">
        <v>481</v>
      </c>
    </row>
    <row r="87" spans="3:4" ht="8.25" customHeight="1">
      <c r="C87" s="246"/>
    </row>
    <row r="88" spans="3:4">
      <c r="C88" s="246" t="s">
        <v>408</v>
      </c>
      <c r="D88" s="234" t="s">
        <v>490</v>
      </c>
    </row>
    <row r="89" spans="3:4" ht="8.25" customHeight="1">
      <c r="C89" s="246"/>
    </row>
    <row r="90" spans="3:4">
      <c r="C90" s="246" t="s">
        <v>408</v>
      </c>
      <c r="D90" s="234" t="s">
        <v>482</v>
      </c>
    </row>
    <row r="91" spans="3:4" ht="8.25" customHeight="1">
      <c r="C91" s="246"/>
    </row>
    <row r="92" spans="3:4">
      <c r="C92" s="246" t="s">
        <v>408</v>
      </c>
      <c r="D92" s="234" t="s">
        <v>483</v>
      </c>
    </row>
    <row r="93" spans="3:4" ht="8.25" customHeight="1">
      <c r="C93" s="246"/>
    </row>
    <row r="94" spans="3:4">
      <c r="C94" s="246" t="s">
        <v>408</v>
      </c>
      <c r="D94" s="234" t="s">
        <v>491</v>
      </c>
    </row>
    <row r="95" spans="3:4" ht="8.25" customHeight="1">
      <c r="C95" s="246"/>
    </row>
    <row r="96" spans="3:4">
      <c r="C96" s="246" t="s">
        <v>408</v>
      </c>
      <c r="D96" s="234" t="s">
        <v>492</v>
      </c>
    </row>
    <row r="97" spans="3:19" ht="8.25" customHeight="1">
      <c r="C97" s="246"/>
    </row>
    <row r="98" spans="3:19">
      <c r="C98" s="246" t="s">
        <v>408</v>
      </c>
      <c r="D98" s="234" t="s">
        <v>484</v>
      </c>
    </row>
    <row r="99" spans="3:19" ht="8.25" customHeight="1">
      <c r="C99" s="246"/>
    </row>
    <row r="100" spans="3:19">
      <c r="C100" s="246" t="s">
        <v>408</v>
      </c>
      <c r="D100" s="234" t="s">
        <v>485</v>
      </c>
    </row>
    <row r="101" spans="3:19">
      <c r="E101" s="234" t="s">
        <v>559</v>
      </c>
    </row>
    <row r="102" spans="3:19" ht="8.25" customHeight="1"/>
    <row r="103" spans="3:19">
      <c r="C103" s="246" t="s">
        <v>408</v>
      </c>
      <c r="D103" s="234" t="s">
        <v>603</v>
      </c>
    </row>
    <row r="104" spans="3:19">
      <c r="C104" s="246"/>
      <c r="E104" s="234" t="s">
        <v>604</v>
      </c>
    </row>
    <row r="105" spans="3:19" ht="8.25" customHeight="1">
      <c r="C105" s="246"/>
    </row>
    <row r="106" spans="3:19">
      <c r="C106" s="246" t="s">
        <v>408</v>
      </c>
      <c r="D106" s="234" t="s">
        <v>486</v>
      </c>
    </row>
    <row r="107" spans="3:19">
      <c r="E107" s="234" t="s">
        <v>605</v>
      </c>
    </row>
    <row r="108" spans="3:19">
      <c r="E108" s="234" t="s">
        <v>461</v>
      </c>
    </row>
    <row r="109" spans="3:19" ht="8.25" customHeight="1"/>
    <row r="110" spans="3:19">
      <c r="C110" s="246" t="s">
        <v>408</v>
      </c>
      <c r="D110" s="234" t="s">
        <v>493</v>
      </c>
    </row>
    <row r="111" spans="3:19" ht="17.25" customHeight="1">
      <c r="E111" s="322" t="s">
        <v>596</v>
      </c>
    </row>
    <row r="112" spans="3:19" ht="17.25" customHeight="1">
      <c r="F112" s="336" t="s">
        <v>597</v>
      </c>
      <c r="G112" s="337"/>
      <c r="H112" s="337"/>
      <c r="I112" s="337"/>
      <c r="J112" s="337"/>
      <c r="K112" s="337"/>
      <c r="L112" s="337"/>
      <c r="M112" s="337"/>
      <c r="N112" s="337"/>
      <c r="O112" s="337"/>
      <c r="P112" s="337"/>
      <c r="Q112" s="337"/>
      <c r="R112" s="337"/>
      <c r="S112" s="337"/>
    </row>
    <row r="114" spans="3:8" ht="19.5" customHeight="1">
      <c r="C114" s="259" t="s">
        <v>417</v>
      </c>
    </row>
    <row r="115" spans="3:8">
      <c r="D115" s="247" t="s">
        <v>409</v>
      </c>
      <c r="F115" s="234" t="s">
        <v>410</v>
      </c>
      <c r="H115" s="234" t="s">
        <v>411</v>
      </c>
    </row>
    <row r="116" spans="3:8">
      <c r="D116" s="247"/>
      <c r="H116" s="234" t="s">
        <v>593</v>
      </c>
    </row>
    <row r="117" spans="3:8" ht="14.25" customHeight="1">
      <c r="D117" s="247"/>
    </row>
    <row r="118" spans="3:8">
      <c r="D118" s="247" t="s">
        <v>446</v>
      </c>
      <c r="F118" s="234" t="s">
        <v>412</v>
      </c>
      <c r="H118" s="234" t="s">
        <v>413</v>
      </c>
    </row>
    <row r="119" spans="3:8">
      <c r="D119" s="247"/>
      <c r="H119" s="234" t="s">
        <v>414</v>
      </c>
    </row>
    <row r="120" spans="3:8">
      <c r="D120" s="247"/>
      <c r="H120" s="234" t="s">
        <v>594</v>
      </c>
    </row>
    <row r="121" spans="3:8" ht="17.25" customHeight="1">
      <c r="D121" s="247"/>
    </row>
    <row r="122" spans="3:8">
      <c r="D122" s="247" t="s">
        <v>415</v>
      </c>
      <c r="F122" s="234" t="s">
        <v>416</v>
      </c>
      <c r="H122" s="234" t="s">
        <v>426</v>
      </c>
    </row>
    <row r="123" spans="3:8">
      <c r="D123" s="247"/>
    </row>
    <row r="124" spans="3:8">
      <c r="D124" s="247" t="s">
        <v>418</v>
      </c>
      <c r="F124" s="234" t="s">
        <v>419</v>
      </c>
      <c r="H124" s="234" t="s">
        <v>472</v>
      </c>
    </row>
    <row r="125" spans="3:8">
      <c r="D125" s="247"/>
      <c r="H125" s="234" t="s">
        <v>571</v>
      </c>
    </row>
    <row r="126" spans="3:8">
      <c r="D126" s="247"/>
    </row>
    <row r="127" spans="3:8">
      <c r="D127" s="247" t="s">
        <v>562</v>
      </c>
      <c r="F127" s="234" t="s">
        <v>565</v>
      </c>
      <c r="H127" s="234" t="s">
        <v>564</v>
      </c>
    </row>
    <row r="128" spans="3:8">
      <c r="D128" s="247"/>
      <c r="F128" s="234" t="s">
        <v>563</v>
      </c>
      <c r="H128" s="234" t="s">
        <v>566</v>
      </c>
    </row>
    <row r="129" spans="4:8">
      <c r="D129" s="247"/>
      <c r="H129" s="234" t="s">
        <v>567</v>
      </c>
    </row>
    <row r="130" spans="4:8">
      <c r="D130" s="247"/>
      <c r="H130" s="234" t="s">
        <v>568</v>
      </c>
    </row>
    <row r="131" spans="4:8">
      <c r="D131" s="247"/>
      <c r="H131" s="234" t="s">
        <v>570</v>
      </c>
    </row>
    <row r="132" spans="4:8">
      <c r="D132" s="247"/>
      <c r="H132" s="249" t="s">
        <v>569</v>
      </c>
    </row>
    <row r="133" spans="4:8">
      <c r="D133" s="247"/>
    </row>
    <row r="134" spans="4:8">
      <c r="D134" s="247" t="s">
        <v>447</v>
      </c>
      <c r="F134" s="234" t="s">
        <v>420</v>
      </c>
      <c r="H134" s="234" t="s">
        <v>422</v>
      </c>
    </row>
    <row r="135" spans="4:8">
      <c r="D135" s="247"/>
      <c r="F135" s="234" t="s">
        <v>421</v>
      </c>
      <c r="H135" s="234" t="s">
        <v>467</v>
      </c>
    </row>
    <row r="136" spans="4:8">
      <c r="D136" s="247"/>
      <c r="H136" s="234" t="s">
        <v>423</v>
      </c>
    </row>
    <row r="137" spans="4:8">
      <c r="D137" s="247"/>
      <c r="H137" s="234" t="s">
        <v>595</v>
      </c>
    </row>
    <row r="138" spans="4:8">
      <c r="D138" s="247"/>
      <c r="H138" s="333" t="s">
        <v>612</v>
      </c>
    </row>
    <row r="139" spans="4:8">
      <c r="D139" s="247"/>
      <c r="H139" s="333" t="s">
        <v>613</v>
      </c>
    </row>
    <row r="140" spans="4:8">
      <c r="D140" s="247"/>
      <c r="H140" s="333" t="s">
        <v>614</v>
      </c>
    </row>
    <row r="141" spans="4:8">
      <c r="D141" s="247"/>
      <c r="H141" s="333" t="s">
        <v>615</v>
      </c>
    </row>
    <row r="142" spans="4:8">
      <c r="D142" s="247"/>
    </row>
    <row r="143" spans="4:8">
      <c r="D143" s="247" t="s">
        <v>424</v>
      </c>
      <c r="F143" s="234" t="s">
        <v>425</v>
      </c>
      <c r="H143" s="234" t="s">
        <v>449</v>
      </c>
    </row>
    <row r="144" spans="4:8">
      <c r="D144" s="247"/>
    </row>
    <row r="145" spans="3:8">
      <c r="D145" s="247" t="s">
        <v>430</v>
      </c>
      <c r="F145" s="234" t="s">
        <v>427</v>
      </c>
      <c r="H145" s="234" t="s">
        <v>428</v>
      </c>
    </row>
    <row r="146" spans="3:8">
      <c r="D146" s="247"/>
      <c r="H146" s="234" t="s">
        <v>429</v>
      </c>
    </row>
    <row r="147" spans="3:8">
      <c r="D147" s="247"/>
    </row>
    <row r="148" spans="3:8">
      <c r="D148" s="247" t="s">
        <v>163</v>
      </c>
      <c r="F148" s="234" t="s">
        <v>431</v>
      </c>
      <c r="H148" s="234" t="s">
        <v>432</v>
      </c>
    </row>
    <row r="149" spans="3:8">
      <c r="D149" s="247"/>
      <c r="H149" s="234" t="s">
        <v>433</v>
      </c>
    </row>
    <row r="150" spans="3:8">
      <c r="D150" s="246"/>
      <c r="H150" s="234" t="s">
        <v>437</v>
      </c>
    </row>
    <row r="151" spans="3:8">
      <c r="D151" s="246"/>
      <c r="H151" s="333" t="s">
        <v>606</v>
      </c>
    </row>
    <row r="152" spans="3:8">
      <c r="D152" s="246"/>
    </row>
    <row r="153" spans="3:8">
      <c r="D153" s="246" t="s">
        <v>560</v>
      </c>
      <c r="F153" s="234" t="s">
        <v>448</v>
      </c>
      <c r="H153" s="234" t="s">
        <v>434</v>
      </c>
    </row>
    <row r="154" spans="3:8">
      <c r="D154" s="246"/>
    </row>
    <row r="155" spans="3:8">
      <c r="D155" s="246" t="s">
        <v>561</v>
      </c>
      <c r="F155" s="234" t="s">
        <v>435</v>
      </c>
      <c r="H155" s="234" t="s">
        <v>436</v>
      </c>
    </row>
    <row r="156" spans="3:8">
      <c r="D156" s="246"/>
      <c r="H156" s="234" t="s">
        <v>438</v>
      </c>
    </row>
    <row r="157" spans="3:8">
      <c r="D157" s="246"/>
      <c r="H157" s="234" t="s">
        <v>439</v>
      </c>
    </row>
    <row r="158" spans="3:8">
      <c r="D158" s="246"/>
    </row>
    <row r="159" spans="3:8">
      <c r="C159" s="259" t="s">
        <v>440</v>
      </c>
    </row>
    <row r="160" spans="3:8">
      <c r="C160" s="247"/>
      <c r="D160" s="234" t="s">
        <v>450</v>
      </c>
    </row>
    <row r="161" spans="2:14">
      <c r="C161" s="247"/>
      <c r="D161" s="234" t="s">
        <v>451</v>
      </c>
    </row>
    <row r="162" spans="2:14">
      <c r="C162" s="247"/>
    </row>
    <row r="163" spans="2:14" ht="20.25" customHeight="1">
      <c r="C163" s="245"/>
      <c r="N163" s="248" t="s">
        <v>441</v>
      </c>
    </row>
    <row r="164" spans="2:14" ht="14.25" customHeight="1"/>
    <row r="165" spans="2:14" ht="18" customHeight="1">
      <c r="B165" s="234" t="s">
        <v>403</v>
      </c>
    </row>
    <row r="166" spans="2:14" ht="18" customHeight="1">
      <c r="C166" s="234" t="s">
        <v>442</v>
      </c>
    </row>
    <row r="167" spans="2:14" ht="18" customHeight="1">
      <c r="C167" s="234" t="s">
        <v>443</v>
      </c>
    </row>
    <row r="168" spans="2:14" ht="18" customHeight="1">
      <c r="C168" s="234" t="s">
        <v>444</v>
      </c>
    </row>
    <row r="169" spans="2:14" ht="18" customHeight="1">
      <c r="D169" s="260" t="s">
        <v>452</v>
      </c>
    </row>
  </sheetData>
  <sheetProtection algorithmName="SHA-512" hashValue="7NfPiCAf2mxAOkSniPx5qr5KVkbpsdh8dFoGtaiDJXmeZpzcfHOBJsbn8bSJ305drEVCIcrDam3W8/f5eKE8fw==" saltValue="Spbzcv8YYRsK60yeW/lMAQ==" spinCount="100000" sheet="1" objects="1" scenarios="1"/>
  <mergeCells count="2">
    <mergeCell ref="F112:S112"/>
    <mergeCell ref="B1:M1"/>
  </mergeCells>
  <phoneticPr fontId="2"/>
  <hyperlinks>
    <hyperlink ref="F112:S112" r:id="rId1" display="https://excel-sozoku.jimdo.com/2020/05/10/%E3%82%84%E3%81%95%E3%81%97%E3%81%84%E8%B2%A1%E7%94%A3%E8%A9%95%E4%BE%A1%E5%85%A5%E9%96%80%E2%91%A9-%E5%81%B4%E6%96%B9-%E4%BA%8C%E6%96%B9-%E8%B7%AF%E7%B7%9A%E5%BD%B1%E9%9F%BF%E5%8A%A0%E7%AE%97%E3%81%AE%E6%B3%A8%E6"/>
    <hyperlink ref="F112" r:id="rId2"/>
  </hyperlinks>
  <pageMargins left="0.51" right="0.2" top="0.54" bottom="0.4" header="0.3" footer="0.3"/>
  <pageSetup paperSize="9" scale="76" fitToHeight="2" orientation="landscape" r:id="rId3"/>
  <rowBreaks count="2" manualBreakCount="2">
    <brk id="104" min="1" max="21" man="1"/>
    <brk id="158" min="1" max="21"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CC"/>
  </sheetPr>
  <dimension ref="B1:AX98"/>
  <sheetViews>
    <sheetView showGridLines="0" showRowColHeaders="0" showZeros="0" tabSelected="1" showRuler="0" zoomScale="140" zoomScaleNormal="140" zoomScaleSheetLayoutView="110" zoomScalePageLayoutView="130" workbookViewId="0">
      <selection activeCell="E3" sqref="E3:F3"/>
    </sheetView>
  </sheetViews>
  <sheetFormatPr defaultColWidth="9" defaultRowHeight="10.5"/>
  <cols>
    <col min="1" max="1" width="0.75" style="1" customWidth="1"/>
    <col min="2" max="2" width="0.875" style="1" customWidth="1"/>
    <col min="3" max="3" width="4.5" style="1" customWidth="1"/>
    <col min="4" max="4" width="2.875" style="1" customWidth="1"/>
    <col min="5" max="5" width="2.5" style="1" customWidth="1"/>
    <col min="6" max="6" width="2.25" style="1" customWidth="1"/>
    <col min="7" max="7" width="3.125" style="1" customWidth="1"/>
    <col min="8" max="8" width="2.625" style="1" customWidth="1"/>
    <col min="9" max="9" width="2.125" style="1" customWidth="1"/>
    <col min="10" max="12" width="2.625" style="1" customWidth="1"/>
    <col min="13" max="13" width="2.25" style="1" customWidth="1"/>
    <col min="14" max="14" width="3.375" style="1" customWidth="1"/>
    <col min="15" max="15" width="3.25" style="1" customWidth="1"/>
    <col min="16" max="16" width="3" style="1" customWidth="1"/>
    <col min="17" max="17" width="3.25" style="1" customWidth="1"/>
    <col min="18" max="20" width="2.75" style="1" customWidth="1"/>
    <col min="21" max="21" width="3.5" style="1" customWidth="1"/>
    <col min="22" max="22" width="2.625" style="1" customWidth="1"/>
    <col min="23" max="23" width="2.125" style="1" customWidth="1"/>
    <col min="24" max="24" width="2.875" style="1" customWidth="1"/>
    <col min="25" max="25" width="4.625" style="1" customWidth="1"/>
    <col min="26" max="26" width="1.375" style="1" customWidth="1"/>
    <col min="27" max="27" width="2.75" style="1" customWidth="1"/>
    <col min="28" max="28" width="2" style="1" customWidth="1"/>
    <col min="29" max="29" width="1.875" style="1" customWidth="1"/>
    <col min="30" max="30" width="1.75" style="1" customWidth="1"/>
    <col min="31" max="31" width="2.5" style="1" customWidth="1"/>
    <col min="32" max="32" width="1.5" style="1" customWidth="1"/>
    <col min="33" max="34" width="2.5" style="1" customWidth="1"/>
    <col min="35" max="35" width="2" style="1" customWidth="1"/>
    <col min="36" max="36" width="2.25" style="1" customWidth="1"/>
    <col min="37" max="37" width="3.125" style="1" customWidth="1"/>
    <col min="38" max="38" width="2.625" style="1" customWidth="1"/>
    <col min="39" max="39" width="9" style="1"/>
    <col min="40" max="40" width="7.375" style="3" customWidth="1"/>
    <col min="41" max="41" width="3.75" style="1" customWidth="1"/>
    <col min="42" max="42" width="3.375" style="1" customWidth="1"/>
    <col min="43" max="43" width="2.5" style="1" customWidth="1"/>
    <col min="44" max="44" width="0.25" style="1" customWidth="1"/>
    <col min="45" max="46" width="0.125" style="1" customWidth="1"/>
    <col min="47" max="16384" width="9" style="1"/>
  </cols>
  <sheetData>
    <row r="1" spans="2:47" ht="10.5" customHeight="1" thickBot="1">
      <c r="D1" s="484" t="s">
        <v>323</v>
      </c>
      <c r="E1" s="484"/>
      <c r="F1" s="484"/>
      <c r="G1" s="484"/>
    </row>
    <row r="2" spans="2:47" ht="9.75" customHeight="1" thickBot="1">
      <c r="B2" s="190"/>
      <c r="C2" s="189"/>
      <c r="D2" s="484"/>
      <c r="E2" s="485"/>
      <c r="F2" s="485"/>
      <c r="G2" s="484"/>
      <c r="H2" s="189"/>
      <c r="I2" s="189"/>
      <c r="J2" s="189"/>
      <c r="K2" s="189"/>
      <c r="L2" s="189"/>
      <c r="M2" s="189"/>
      <c r="N2" s="189"/>
      <c r="O2" s="189"/>
      <c r="P2" s="189"/>
      <c r="Q2" s="189"/>
      <c r="R2" s="189"/>
      <c r="S2" s="189"/>
      <c r="T2" s="189"/>
      <c r="U2" s="189"/>
      <c r="V2" s="189"/>
      <c r="W2" s="189"/>
      <c r="X2" s="189"/>
      <c r="Y2" s="189"/>
      <c r="Z2" s="189"/>
      <c r="AA2" s="203"/>
    </row>
    <row r="3" spans="2:47" ht="15" customHeight="1" thickBot="1">
      <c r="B3" s="191"/>
      <c r="C3" s="491" t="s">
        <v>473</v>
      </c>
      <c r="D3" s="492"/>
      <c r="E3" s="563" t="s">
        <v>474</v>
      </c>
      <c r="F3" s="564"/>
      <c r="G3" s="530" t="s">
        <v>1</v>
      </c>
      <c r="H3" s="531"/>
      <c r="I3" s="532"/>
      <c r="J3" s="528" t="s">
        <v>573</v>
      </c>
      <c r="K3" s="528"/>
      <c r="L3" s="529"/>
      <c r="M3" s="171">
        <f>IF(J3="自用地",1,IF(J3="貸宅地",2,IF(J3="貸家建付地",3,IF(J3="借地権",4,IF(J3="私道",5,IF(J3="貸家建付借地権",6,IF(J3="転貸借地権",7,IF(J3="転借権",8,IF(J3="借家人の有する権利",9,10)))))))))</f>
        <v>3</v>
      </c>
      <c r="N3" s="523" t="s">
        <v>307</v>
      </c>
      <c r="O3" s="524"/>
      <c r="P3" s="525">
        <v>1125</v>
      </c>
      <c r="Q3" s="526"/>
      <c r="R3" s="527"/>
      <c r="S3" s="523" t="s">
        <v>308</v>
      </c>
      <c r="T3" s="524"/>
      <c r="U3" s="486">
        <v>1</v>
      </c>
      <c r="V3" s="487"/>
      <c r="W3" s="487"/>
      <c r="X3" s="487">
        <v>2</v>
      </c>
      <c r="Y3" s="522"/>
      <c r="Z3" s="201"/>
      <c r="AA3" s="204"/>
      <c r="AB3" s="3"/>
      <c r="AC3" s="3"/>
      <c r="AD3" s="3"/>
      <c r="AE3" s="3"/>
      <c r="AF3" s="3"/>
      <c r="AG3" s="3"/>
      <c r="AH3" s="3"/>
      <c r="AI3" s="3"/>
      <c r="AJ3" s="3"/>
      <c r="AK3" s="3"/>
    </row>
    <row r="4" spans="2:47" ht="7.5" customHeight="1" thickBot="1">
      <c r="B4" s="191"/>
      <c r="C4" s="201"/>
      <c r="D4" s="201"/>
      <c r="E4" s="201"/>
      <c r="F4" s="201"/>
      <c r="G4" s="201"/>
      <c r="H4" s="201"/>
      <c r="I4" s="201"/>
      <c r="J4" s="201"/>
      <c r="K4" s="201"/>
      <c r="L4" s="201"/>
      <c r="M4" s="201"/>
      <c r="N4" s="201"/>
      <c r="O4" s="201"/>
      <c r="P4" s="201"/>
      <c r="Q4" s="201"/>
      <c r="R4" s="201"/>
      <c r="S4" s="201"/>
      <c r="T4" s="201"/>
      <c r="U4" s="201"/>
      <c r="V4" s="201"/>
      <c r="W4" s="201"/>
      <c r="X4" s="202"/>
      <c r="Y4" s="201"/>
      <c r="Z4" s="201"/>
      <c r="AA4" s="204"/>
      <c r="AB4" s="3"/>
      <c r="AC4" s="3"/>
      <c r="AD4" s="3"/>
      <c r="AE4" s="3"/>
      <c r="AF4" s="3"/>
      <c r="AG4" s="3"/>
      <c r="AH4" s="3"/>
      <c r="AI4" s="3"/>
      <c r="AJ4" s="3"/>
      <c r="AK4" s="3"/>
    </row>
    <row r="5" spans="2:47" ht="18" customHeight="1" thickBot="1">
      <c r="B5" s="191"/>
      <c r="C5" s="535"/>
      <c r="D5" s="536"/>
      <c r="E5" s="540" t="s">
        <v>299</v>
      </c>
      <c r="F5" s="540"/>
      <c r="G5" s="540"/>
      <c r="H5" s="501" t="s">
        <v>180</v>
      </c>
      <c r="I5" s="502"/>
      <c r="J5" s="557" t="s">
        <v>59</v>
      </c>
      <c r="K5" s="557"/>
      <c r="L5" s="557"/>
      <c r="M5" s="557"/>
      <c r="N5" s="541" t="s">
        <v>58</v>
      </c>
      <c r="O5" s="542"/>
      <c r="P5" s="549" t="s">
        <v>300</v>
      </c>
      <c r="Q5" s="550"/>
      <c r="R5" s="514" t="s">
        <v>322</v>
      </c>
      <c r="S5" s="515"/>
      <c r="T5" s="515"/>
      <c r="U5" s="488" t="s">
        <v>305</v>
      </c>
      <c r="V5" s="489"/>
      <c r="W5" s="489"/>
      <c r="X5" s="489"/>
      <c r="Y5" s="490"/>
      <c r="Z5" s="267"/>
      <c r="AA5" s="204"/>
      <c r="AB5" s="3"/>
      <c r="AC5" s="3"/>
      <c r="AD5" s="3"/>
      <c r="AE5" s="3"/>
      <c r="AF5" s="3"/>
      <c r="AG5" s="3"/>
      <c r="AH5" s="3"/>
      <c r="AI5" s="3"/>
      <c r="AM5" s="3"/>
      <c r="AN5" s="1"/>
    </row>
    <row r="6" spans="2:47" ht="17.25" customHeight="1" thickTop="1">
      <c r="B6" s="191"/>
      <c r="C6" s="493" t="s">
        <v>301</v>
      </c>
      <c r="D6" s="494"/>
      <c r="E6" s="537">
        <v>300000</v>
      </c>
      <c r="F6" s="537"/>
      <c r="G6" s="537"/>
      <c r="H6" s="503"/>
      <c r="I6" s="504"/>
      <c r="J6" s="548" t="s">
        <v>601</v>
      </c>
      <c r="K6" s="548"/>
      <c r="L6" s="548"/>
      <c r="M6" s="186">
        <f>IF(J6="ビル街地区",1,IF(J6="高度商業地区",2,IF(J6="繁華街地区",3,IF(J6="普通商業・併用住宅地区",4,IF(J6="普通住宅地区",5,IF(J6="中小工場地区",6,7))))))</f>
        <v>4</v>
      </c>
      <c r="N6" s="510">
        <v>35</v>
      </c>
      <c r="O6" s="511"/>
      <c r="P6" s="551">
        <v>32.14</v>
      </c>
      <c r="Q6" s="552"/>
      <c r="R6" s="516">
        <f>価額Ａ</f>
        <v>291000</v>
      </c>
      <c r="S6" s="517"/>
      <c r="T6" s="518"/>
      <c r="U6" s="507" t="s">
        <v>324</v>
      </c>
      <c r="V6" s="508"/>
      <c r="W6" s="509"/>
      <c r="X6" s="497" t="s">
        <v>306</v>
      </c>
      <c r="Y6" s="498"/>
      <c r="Z6" s="268"/>
      <c r="AA6" s="204"/>
      <c r="AB6" s="3"/>
      <c r="AC6" s="3"/>
      <c r="AD6" s="3"/>
      <c r="AE6" s="3"/>
      <c r="AF6" s="3"/>
      <c r="AG6" s="3"/>
      <c r="AH6" s="3"/>
      <c r="AI6" s="3"/>
      <c r="AJ6" s="3"/>
      <c r="AN6" s="1"/>
      <c r="AS6" s="168"/>
      <c r="AT6" s="169">
        <f>VLOOKUP(P6,補正率表!$A$3:$I$31,MATCH(地区区分,補正率表!$A$2:$I$2,0))</f>
        <v>0.97</v>
      </c>
    </row>
    <row r="7" spans="2:47" ht="17.25" customHeight="1">
      <c r="B7" s="191"/>
      <c r="C7" s="495" t="s">
        <v>302</v>
      </c>
      <c r="D7" s="496"/>
      <c r="E7" s="538">
        <v>250000</v>
      </c>
      <c r="F7" s="538"/>
      <c r="G7" s="538"/>
      <c r="H7" s="505"/>
      <c r="I7" s="506"/>
      <c r="J7" s="555" t="s">
        <v>298</v>
      </c>
      <c r="K7" s="555"/>
      <c r="L7" s="555"/>
      <c r="M7" s="187">
        <f>IF(J7="正面路線に同じ",M6,IF(J7="ビル街地区",1,IF(J7="高度商業地区",2,IF(J7="繁華街地区",3,IF(J7="普通商業・併用住宅地区",4,IF(J7="普通住宅地区",5,IF(J7="中小工場地区",6,7)))))))</f>
        <v>4</v>
      </c>
      <c r="N7" s="512"/>
      <c r="O7" s="513"/>
      <c r="P7" s="553">
        <v>35</v>
      </c>
      <c r="Q7" s="553"/>
      <c r="R7" s="519">
        <f>IF(J7="正面路線に同じ",ROUNDDOWN(側方路線価１*VLOOKUP(P7,補正率表!$A$3:$I$31,MATCH(地区区分,補正率表!$A$2:$I$2,0)),0),ROUNDDOWN(側方路線価１*VLOOKUP(P7,補正率表!$A$3:$I$31,MATCH(J7,補正率表!$A$2:$I$2,0)),0))</f>
        <v>242500</v>
      </c>
      <c r="S7" s="520"/>
      <c r="T7" s="521"/>
      <c r="U7" s="390">
        <v>15</v>
      </c>
      <c r="V7" s="391"/>
      <c r="W7" s="392"/>
      <c r="X7" s="499">
        <v>20</v>
      </c>
      <c r="Y7" s="500"/>
      <c r="Z7" s="269"/>
      <c r="AA7" s="205" t="b">
        <v>0</v>
      </c>
      <c r="AB7" s="3"/>
      <c r="AC7" s="3"/>
      <c r="AD7" s="3"/>
      <c r="AE7" s="3"/>
      <c r="AF7" s="3"/>
      <c r="AG7" s="3"/>
      <c r="AH7" s="3"/>
      <c r="AI7" s="3"/>
      <c r="AJ7" s="3"/>
      <c r="AK7" s="3"/>
      <c r="AL7" s="3"/>
      <c r="AN7" s="1"/>
      <c r="AS7" s="169">
        <f>VLOOKUP(P7,補正率表!$A$3:$I$31,MATCH(地区区分,補正率表!$A$2:$I$2,0))</f>
        <v>0.97</v>
      </c>
      <c r="AT7" s="170" t="e">
        <f>VLOOKUP(P7,補正率表!$A$3:$I$31,MATCH(J7,補正率表!$A$2:$I$2,0))</f>
        <v>#N/A</v>
      </c>
    </row>
    <row r="8" spans="2:47" ht="17.25" customHeight="1">
      <c r="B8" s="191"/>
      <c r="C8" s="495" t="s">
        <v>303</v>
      </c>
      <c r="D8" s="496"/>
      <c r="E8" s="538">
        <v>200000</v>
      </c>
      <c r="F8" s="538"/>
      <c r="G8" s="538"/>
      <c r="H8" s="505"/>
      <c r="I8" s="506"/>
      <c r="J8" s="555" t="s">
        <v>298</v>
      </c>
      <c r="K8" s="555"/>
      <c r="L8" s="555"/>
      <c r="M8" s="187">
        <f>IF(J8="正面路線に同じ",M6,IF(J8="ビル街地区",1,IF(J8="高度商業地区",2,IF(J8="繁華街地区",3,IF(J8="普通商業・併用住宅地区",4,IF(J8="普通住宅地区",5,IF(J8="中小工場地区",6,7)))))))</f>
        <v>4</v>
      </c>
      <c r="N8" s="512"/>
      <c r="O8" s="513"/>
      <c r="P8" s="553">
        <v>35</v>
      </c>
      <c r="Q8" s="553"/>
      <c r="R8" s="519">
        <f>IF(J8="正面路線に同じ",ROUNDDOWN(側方路線価２*VLOOKUP(P8,補正率表!$A$3:$I$31,MATCH(地区区分,補正率表!$A$2:$I$2,0)),0),ROUNDDOWN(側方路線価２*VLOOKUP(P8,補正率表!$A$3:$I$31,MATCH(J8,補正率表!$A$2:$I$2,0)),0))</f>
        <v>194000</v>
      </c>
      <c r="S8" s="520"/>
      <c r="T8" s="521"/>
      <c r="U8" s="390"/>
      <c r="V8" s="391"/>
      <c r="W8" s="392"/>
      <c r="X8" s="499"/>
      <c r="Y8" s="500"/>
      <c r="Z8" s="269"/>
      <c r="AA8" s="205" t="b">
        <v>0</v>
      </c>
      <c r="AB8" s="3"/>
      <c r="AC8" s="3"/>
      <c r="AD8" s="3"/>
      <c r="AE8" s="3"/>
      <c r="AF8" s="3"/>
      <c r="AG8" s="3"/>
      <c r="AH8" s="3"/>
      <c r="AI8" s="3"/>
      <c r="AJ8" s="3"/>
      <c r="AK8" s="3"/>
      <c r="AL8" s="3"/>
      <c r="AN8" s="1"/>
      <c r="AS8" s="170">
        <f>VLOOKUP(P8,補正率表!$A$3:$I$31,MATCH(地区区分,補正率表!$A$2:$I$2,0))</f>
        <v>0.97</v>
      </c>
      <c r="AT8" s="170" t="e">
        <f>VLOOKUP(P8,補正率表!$A$3:$I$31,MATCH(J8,補正率表!$A$2:$I$2,0))</f>
        <v>#N/A</v>
      </c>
    </row>
    <row r="9" spans="2:47" ht="17.25" customHeight="1" thickBot="1">
      <c r="B9" s="191"/>
      <c r="C9" s="533" t="s">
        <v>304</v>
      </c>
      <c r="D9" s="534"/>
      <c r="E9" s="539">
        <v>150000</v>
      </c>
      <c r="F9" s="539"/>
      <c r="G9" s="539"/>
      <c r="H9" s="543"/>
      <c r="I9" s="544"/>
      <c r="J9" s="556" t="s">
        <v>298</v>
      </c>
      <c r="K9" s="556"/>
      <c r="L9" s="556"/>
      <c r="M9" s="188">
        <f>IF(J9="正面路線に同じ",M6,IF(J9="ビル街地区",1,IF(J9="高度商業地区",2,IF(J9="繁華街地区",3,IF(J9="普通商業・併用住宅地区",4,IF(J9="普通住宅地区",5,IF(J9="中小工場地区",6,7)))))))</f>
        <v>4</v>
      </c>
      <c r="N9" s="561"/>
      <c r="O9" s="562"/>
      <c r="P9" s="396">
        <v>32.14</v>
      </c>
      <c r="Q9" s="396"/>
      <c r="R9" s="545">
        <f>IF(J9="正面路線に同じ",ROUNDDOWN(裏面路線価*VLOOKUP(P9,補正率表!$A$3:$I$31,MATCH(地区区分,補正率表!$A$2:$I$2,0)),0),ROUNDDOWN(裏面路線価*VLOOKUP(P9,補正率表!$A$3:$I$31,MATCH(J9,補正率表!$A$2:$I$2,0)),0))</f>
        <v>145500</v>
      </c>
      <c r="S9" s="546"/>
      <c r="T9" s="547"/>
      <c r="U9" s="393"/>
      <c r="V9" s="394"/>
      <c r="W9" s="395"/>
      <c r="X9" s="409"/>
      <c r="Y9" s="410"/>
      <c r="Z9" s="269"/>
      <c r="AA9" s="204"/>
      <c r="AB9" s="3"/>
      <c r="AC9" s="3"/>
      <c r="AD9" s="3"/>
      <c r="AE9" s="3"/>
      <c r="AF9" s="3"/>
      <c r="AG9" s="3"/>
      <c r="AH9" s="3"/>
      <c r="AI9" s="3"/>
      <c r="AJ9" s="3"/>
      <c r="AK9" s="3"/>
      <c r="AL9" s="3"/>
      <c r="AN9" s="1"/>
      <c r="AS9" s="170">
        <f>VLOOKUP(P9,補正率表!$A$3:$I$31,MATCH(地区区分,補正率表!$A$2:$I$2,0))</f>
        <v>0.97</v>
      </c>
      <c r="AT9" s="170" t="e">
        <f>VLOOKUP(P9,補正率表!$A$3:$I$31,MATCH(J9,補正率表!$A$2:$I$2,0))</f>
        <v>#N/A</v>
      </c>
    </row>
    <row r="10" spans="2:47" ht="9" customHeight="1" thickBot="1">
      <c r="B10" s="192"/>
      <c r="C10" s="193"/>
      <c r="D10" s="193"/>
      <c r="E10" s="194"/>
      <c r="F10" s="194"/>
      <c r="G10" s="194"/>
      <c r="H10" s="194"/>
      <c r="I10" s="195"/>
      <c r="J10" s="195"/>
      <c r="K10" s="195"/>
      <c r="L10" s="196"/>
      <c r="M10" s="197"/>
      <c r="N10" s="197"/>
      <c r="O10" s="198"/>
      <c r="P10" s="198"/>
      <c r="Q10" s="198"/>
      <c r="R10" s="199"/>
      <c r="S10" s="199"/>
      <c r="T10" s="199"/>
      <c r="U10" s="199"/>
      <c r="V10" s="199"/>
      <c r="W10" s="199"/>
      <c r="X10" s="199"/>
      <c r="Y10" s="199"/>
      <c r="Z10" s="199"/>
      <c r="AA10" s="200"/>
      <c r="AN10" s="1"/>
    </row>
    <row r="11" spans="2:47" ht="17.25" customHeight="1">
      <c r="C11" s="6"/>
      <c r="E11" s="273"/>
      <c r="F11" s="273"/>
      <c r="G11" s="273"/>
      <c r="H11" s="273"/>
      <c r="I11" s="273"/>
      <c r="J11" s="273"/>
      <c r="K11" s="273"/>
      <c r="L11" s="273"/>
      <c r="M11" s="273"/>
      <c r="N11" s="273"/>
      <c r="O11" s="273"/>
      <c r="P11" s="273"/>
      <c r="Q11" s="273"/>
      <c r="R11" s="273"/>
      <c r="S11" s="273"/>
      <c r="T11" s="273"/>
      <c r="U11" s="273"/>
      <c r="X11" s="273"/>
      <c r="Y11" s="273"/>
      <c r="Z11" s="256"/>
      <c r="AI11" s="566"/>
      <c r="AJ11" s="566"/>
      <c r="AK11" s="566"/>
      <c r="AL11" s="7"/>
    </row>
    <row r="12" spans="2:47" ht="18" customHeight="1">
      <c r="C12" s="273" t="s">
        <v>510</v>
      </c>
      <c r="D12" s="273"/>
      <c r="E12" s="273"/>
      <c r="F12" s="273"/>
      <c r="G12" s="273"/>
      <c r="H12" s="273"/>
      <c r="I12" s="273"/>
      <c r="J12" s="273"/>
      <c r="K12" s="273"/>
      <c r="L12" s="273"/>
      <c r="M12" s="273"/>
      <c r="N12" s="273"/>
      <c r="O12" s="273"/>
      <c r="P12" s="273"/>
      <c r="Q12" s="273"/>
      <c r="R12" s="273"/>
      <c r="S12" s="273"/>
      <c r="T12" s="273"/>
      <c r="W12" s="416" t="s">
        <v>259</v>
      </c>
      <c r="X12" s="416"/>
      <c r="Y12" s="270" t="s">
        <v>285</v>
      </c>
      <c r="Z12" s="558" t="s">
        <v>580</v>
      </c>
      <c r="AA12" s="558"/>
      <c r="AB12" s="558"/>
      <c r="AC12" s="277" t="s">
        <v>45</v>
      </c>
      <c r="AD12" s="424">
        <v>3</v>
      </c>
      <c r="AE12" s="424"/>
      <c r="AF12" s="347" t="s">
        <v>46</v>
      </c>
      <c r="AG12" s="347"/>
      <c r="AH12" s="565">
        <v>37134</v>
      </c>
      <c r="AI12" s="565"/>
      <c r="AJ12" s="347" t="s">
        <v>91</v>
      </c>
      <c r="AK12" s="347"/>
      <c r="AL12" s="111"/>
      <c r="AP12" s="1" t="s">
        <v>269</v>
      </c>
      <c r="AT12" s="3" t="s">
        <v>257</v>
      </c>
      <c r="AU12" s="1" t="s">
        <v>325</v>
      </c>
    </row>
    <row r="13" spans="2:47" ht="12" customHeight="1">
      <c r="C13" s="347" t="s">
        <v>47</v>
      </c>
      <c r="D13" s="347"/>
      <c r="E13" s="347"/>
      <c r="F13" s="459" t="s">
        <v>92</v>
      </c>
      <c r="G13" s="559" t="s">
        <v>574</v>
      </c>
      <c r="H13" s="559"/>
      <c r="I13" s="559"/>
      <c r="J13" s="559"/>
      <c r="K13" s="559"/>
      <c r="L13" s="459" t="s">
        <v>93</v>
      </c>
      <c r="M13" s="347" t="s">
        <v>48</v>
      </c>
      <c r="N13" s="347"/>
      <c r="O13" s="560" t="s">
        <v>313</v>
      </c>
      <c r="P13" s="560"/>
      <c r="Q13" s="559" t="s">
        <v>576</v>
      </c>
      <c r="R13" s="559"/>
      <c r="S13" s="559"/>
      <c r="T13" s="559"/>
      <c r="U13" s="559"/>
      <c r="V13" s="559"/>
      <c r="W13" s="559"/>
      <c r="X13" s="559"/>
      <c r="Y13" s="347" t="s">
        <v>49</v>
      </c>
      <c r="Z13" s="347" t="s">
        <v>315</v>
      </c>
      <c r="AA13" s="347"/>
      <c r="AB13" s="347"/>
      <c r="AC13" s="347"/>
      <c r="AD13" s="559" t="s">
        <v>578</v>
      </c>
      <c r="AE13" s="559"/>
      <c r="AF13" s="559"/>
      <c r="AG13" s="559"/>
      <c r="AH13" s="559"/>
      <c r="AI13" s="559"/>
      <c r="AJ13" s="559"/>
      <c r="AK13" s="559"/>
      <c r="AL13" s="567" t="s">
        <v>511</v>
      </c>
      <c r="AP13" s="1" t="s">
        <v>269</v>
      </c>
      <c r="AT13" s="3" t="s">
        <v>258</v>
      </c>
      <c r="AU13" s="1" t="s">
        <v>325</v>
      </c>
    </row>
    <row r="14" spans="2:47" ht="12" customHeight="1">
      <c r="C14" s="347"/>
      <c r="D14" s="347"/>
      <c r="E14" s="347"/>
      <c r="F14" s="459"/>
      <c r="G14" s="559"/>
      <c r="H14" s="559"/>
      <c r="I14" s="559"/>
      <c r="J14" s="559"/>
      <c r="K14" s="559"/>
      <c r="L14" s="459"/>
      <c r="M14" s="347"/>
      <c r="N14" s="347"/>
      <c r="O14" s="415" t="s">
        <v>50</v>
      </c>
      <c r="P14" s="415"/>
      <c r="Q14" s="559"/>
      <c r="R14" s="559"/>
      <c r="S14" s="559"/>
      <c r="T14" s="559"/>
      <c r="U14" s="559"/>
      <c r="V14" s="559"/>
      <c r="W14" s="559"/>
      <c r="X14" s="559"/>
      <c r="Y14" s="347"/>
      <c r="Z14" s="347" t="s">
        <v>50</v>
      </c>
      <c r="AA14" s="347"/>
      <c r="AB14" s="347"/>
      <c r="AC14" s="347"/>
      <c r="AD14" s="559"/>
      <c r="AE14" s="559"/>
      <c r="AF14" s="559"/>
      <c r="AG14" s="559"/>
      <c r="AH14" s="559"/>
      <c r="AI14" s="559"/>
      <c r="AJ14" s="559"/>
      <c r="AK14" s="559"/>
      <c r="AL14" s="567"/>
      <c r="AN14" s="1"/>
      <c r="AT14" s="3" t="s">
        <v>259</v>
      </c>
      <c r="AU14" s="1" t="s">
        <v>325</v>
      </c>
    </row>
    <row r="15" spans="2:47" ht="12" customHeight="1">
      <c r="C15" s="560" t="s">
        <v>51</v>
      </c>
      <c r="D15" s="560"/>
      <c r="E15" s="560"/>
      <c r="F15" s="559" t="s">
        <v>575</v>
      </c>
      <c r="G15" s="559"/>
      <c r="H15" s="559"/>
      <c r="I15" s="559"/>
      <c r="J15" s="559"/>
      <c r="K15" s="559"/>
      <c r="L15" s="559"/>
      <c r="M15" s="347"/>
      <c r="N15" s="347"/>
      <c r="O15" s="560" t="s">
        <v>314</v>
      </c>
      <c r="P15" s="560"/>
      <c r="Q15" s="559" t="s">
        <v>577</v>
      </c>
      <c r="R15" s="559"/>
      <c r="S15" s="559"/>
      <c r="T15" s="559"/>
      <c r="U15" s="559"/>
      <c r="V15" s="559"/>
      <c r="W15" s="559"/>
      <c r="X15" s="559"/>
      <c r="Y15" s="347"/>
      <c r="Z15" s="347" t="s">
        <v>316</v>
      </c>
      <c r="AA15" s="347"/>
      <c r="AB15" s="347"/>
      <c r="AC15" s="347"/>
      <c r="AD15" s="559" t="s">
        <v>579</v>
      </c>
      <c r="AE15" s="559"/>
      <c r="AF15" s="559"/>
      <c r="AG15" s="559"/>
      <c r="AH15" s="559"/>
      <c r="AI15" s="559"/>
      <c r="AJ15" s="559"/>
      <c r="AK15" s="559"/>
      <c r="AL15" s="567"/>
      <c r="AN15" s="1"/>
      <c r="AT15" s="3" t="s">
        <v>260</v>
      </c>
      <c r="AU15" s="1" t="s">
        <v>326</v>
      </c>
    </row>
    <row r="16" spans="2:47" ht="12" customHeight="1">
      <c r="C16" s="560"/>
      <c r="D16" s="560"/>
      <c r="E16" s="560"/>
      <c r="F16" s="559"/>
      <c r="G16" s="559"/>
      <c r="H16" s="559"/>
      <c r="I16" s="559"/>
      <c r="J16" s="559"/>
      <c r="K16" s="559"/>
      <c r="L16" s="559"/>
      <c r="M16" s="347"/>
      <c r="N16" s="347"/>
      <c r="O16" s="415" t="s">
        <v>52</v>
      </c>
      <c r="P16" s="415"/>
      <c r="Q16" s="559"/>
      <c r="R16" s="559"/>
      <c r="S16" s="559"/>
      <c r="T16" s="559"/>
      <c r="U16" s="559"/>
      <c r="V16" s="559"/>
      <c r="W16" s="559"/>
      <c r="X16" s="559"/>
      <c r="Y16" s="347"/>
      <c r="Z16" s="347" t="s">
        <v>52</v>
      </c>
      <c r="AA16" s="347"/>
      <c r="AB16" s="347"/>
      <c r="AC16" s="347"/>
      <c r="AD16" s="559"/>
      <c r="AE16" s="559"/>
      <c r="AF16" s="559"/>
      <c r="AG16" s="559"/>
      <c r="AH16" s="559"/>
      <c r="AI16" s="559"/>
      <c r="AJ16" s="559"/>
      <c r="AK16" s="559"/>
      <c r="AL16" s="567"/>
      <c r="AN16" s="1"/>
      <c r="AT16" s="3" t="s">
        <v>261</v>
      </c>
      <c r="AU16" s="1" t="s">
        <v>325</v>
      </c>
    </row>
    <row r="17" spans="3:47" ht="11.25" customHeight="1">
      <c r="C17" s="347" t="s">
        <v>53</v>
      </c>
      <c r="D17" s="347"/>
      <c r="E17" s="347"/>
      <c r="F17" s="347"/>
      <c r="G17" s="347"/>
      <c r="H17" s="347" t="s">
        <v>54</v>
      </c>
      <c r="I17" s="347"/>
      <c r="J17" s="347"/>
      <c r="K17" s="347"/>
      <c r="L17" s="283"/>
      <c r="M17" s="554" t="s">
        <v>317</v>
      </c>
      <c r="N17" s="554"/>
      <c r="O17" s="554"/>
      <c r="P17" s="554"/>
      <c r="Q17" s="554"/>
      <c r="R17" s="554"/>
      <c r="S17" s="554"/>
      <c r="T17" s="554"/>
      <c r="U17" s="554"/>
      <c r="V17" s="554"/>
      <c r="W17" s="554"/>
      <c r="X17" s="554"/>
      <c r="Y17" s="554"/>
      <c r="Z17" s="554"/>
      <c r="AA17" s="573" t="s">
        <v>530</v>
      </c>
      <c r="AB17" s="574" t="s">
        <v>582</v>
      </c>
      <c r="AC17" s="574"/>
      <c r="AD17" s="574"/>
      <c r="AE17" s="574"/>
      <c r="AF17" s="574"/>
      <c r="AG17" s="574"/>
      <c r="AH17" s="574"/>
      <c r="AI17" s="574"/>
      <c r="AJ17" s="574"/>
      <c r="AK17" s="574"/>
      <c r="AL17" s="567"/>
      <c r="AN17" s="1"/>
      <c r="AT17" s="3" t="s">
        <v>262</v>
      </c>
      <c r="AU17" s="1" t="s">
        <v>325</v>
      </c>
    </row>
    <row r="18" spans="3:47" ht="11.25" customHeight="1">
      <c r="C18" s="347" t="str">
        <f>IF(E3="宅地","● 宅地","　 宅地")</f>
        <v>● 宅地</v>
      </c>
      <c r="D18" s="347"/>
      <c r="E18" s="347" t="str">
        <f>IF(E3="山林","● 山林","　山 林")</f>
        <v>　山 林</v>
      </c>
      <c r="F18" s="347"/>
      <c r="G18" s="347"/>
      <c r="H18" s="33"/>
      <c r="I18" s="310"/>
      <c r="J18" s="310"/>
      <c r="K18" s="11" t="s">
        <v>94</v>
      </c>
      <c r="L18" s="347" t="s">
        <v>55</v>
      </c>
      <c r="M18" s="347"/>
      <c r="N18" s="347"/>
      <c r="O18" s="347" t="s">
        <v>56</v>
      </c>
      <c r="P18" s="347"/>
      <c r="Q18" s="347"/>
      <c r="R18" s="347"/>
      <c r="S18" s="347" t="s">
        <v>56</v>
      </c>
      <c r="T18" s="347"/>
      <c r="U18" s="347"/>
      <c r="V18" s="347"/>
      <c r="W18" s="347" t="s">
        <v>57</v>
      </c>
      <c r="X18" s="347"/>
      <c r="Y18" s="347"/>
      <c r="Z18" s="347"/>
      <c r="AA18" s="573"/>
      <c r="AB18" s="574"/>
      <c r="AC18" s="574"/>
      <c r="AD18" s="574"/>
      <c r="AE18" s="574"/>
      <c r="AF18" s="574"/>
      <c r="AG18" s="574"/>
      <c r="AH18" s="574"/>
      <c r="AI18" s="574"/>
      <c r="AJ18" s="574"/>
      <c r="AK18" s="574"/>
      <c r="AL18" s="567"/>
      <c r="AN18" s="274"/>
      <c r="AO18" s="274"/>
      <c r="AT18" s="3" t="s">
        <v>263</v>
      </c>
      <c r="AU18" s="1" t="s">
        <v>325</v>
      </c>
    </row>
    <row r="19" spans="3:47" ht="12.75" customHeight="1">
      <c r="C19" s="347" t="str">
        <f>IF(E3="田","●  田","　田")</f>
        <v>　田</v>
      </c>
      <c r="D19" s="347"/>
      <c r="E19" s="347" t="str">
        <f>IF(E3="雑種地","● 雑種地","　雑種地")</f>
        <v>　雑種地</v>
      </c>
      <c r="F19" s="347"/>
      <c r="G19" s="347"/>
      <c r="H19" s="349">
        <f>P3</f>
        <v>1125</v>
      </c>
      <c r="I19" s="349"/>
      <c r="J19" s="349"/>
      <c r="K19" s="349"/>
      <c r="L19" s="311"/>
      <c r="M19" s="13"/>
      <c r="N19" s="163" t="s">
        <v>2</v>
      </c>
      <c r="O19" s="397">
        <f>P7</f>
        <v>35</v>
      </c>
      <c r="P19" s="397"/>
      <c r="Q19" s="397"/>
      <c r="R19" s="163" t="s">
        <v>2</v>
      </c>
      <c r="S19" s="397">
        <f>P8</f>
        <v>35</v>
      </c>
      <c r="T19" s="397"/>
      <c r="U19" s="397"/>
      <c r="V19" s="163" t="s">
        <v>2</v>
      </c>
      <c r="W19" s="399">
        <f>P9</f>
        <v>32.14</v>
      </c>
      <c r="X19" s="399"/>
      <c r="Y19" s="399"/>
      <c r="Z19" s="271" t="s">
        <v>2</v>
      </c>
      <c r="AA19" s="573"/>
      <c r="AB19" s="574"/>
      <c r="AC19" s="574"/>
      <c r="AD19" s="574"/>
      <c r="AE19" s="574"/>
      <c r="AF19" s="574"/>
      <c r="AG19" s="574"/>
      <c r="AH19" s="574"/>
      <c r="AI19" s="574"/>
      <c r="AJ19" s="574"/>
      <c r="AK19" s="574"/>
      <c r="AL19" s="567"/>
      <c r="AP19" s="102" t="s">
        <v>269</v>
      </c>
      <c r="AQ19" s="102"/>
      <c r="AR19" s="102"/>
      <c r="AS19" s="102"/>
      <c r="AT19" s="3" t="s">
        <v>264</v>
      </c>
      <c r="AU19" s="1" t="s">
        <v>325</v>
      </c>
    </row>
    <row r="20" spans="3:47" ht="12.75" customHeight="1">
      <c r="C20" s="347" t="str">
        <f>IF(E3="畑","●  畑","　畑")</f>
        <v>　畑</v>
      </c>
      <c r="D20" s="347"/>
      <c r="E20" s="348" t="s">
        <v>555</v>
      </c>
      <c r="F20" s="348"/>
      <c r="G20" s="348"/>
      <c r="H20" s="349"/>
      <c r="I20" s="349"/>
      <c r="J20" s="349"/>
      <c r="K20" s="349"/>
      <c r="L20" s="350">
        <f>E6</f>
        <v>300000</v>
      </c>
      <c r="M20" s="350"/>
      <c r="N20" s="350"/>
      <c r="O20" s="398">
        <f>E7</f>
        <v>250000</v>
      </c>
      <c r="P20" s="398"/>
      <c r="Q20" s="398"/>
      <c r="R20" s="398"/>
      <c r="S20" s="398">
        <f>E8</f>
        <v>200000</v>
      </c>
      <c r="T20" s="398"/>
      <c r="U20" s="398"/>
      <c r="V20" s="398"/>
      <c r="W20" s="398">
        <f>E9</f>
        <v>150000</v>
      </c>
      <c r="X20" s="398"/>
      <c r="Y20" s="398"/>
      <c r="Z20" s="398"/>
      <c r="AA20" s="573"/>
      <c r="AB20" s="574"/>
      <c r="AC20" s="574"/>
      <c r="AD20" s="574"/>
      <c r="AE20" s="574"/>
      <c r="AF20" s="574"/>
      <c r="AG20" s="574"/>
      <c r="AH20" s="574"/>
      <c r="AI20" s="574"/>
      <c r="AJ20" s="574"/>
      <c r="AK20" s="574"/>
      <c r="AL20" s="567"/>
      <c r="AP20" s="102" t="s">
        <v>270</v>
      </c>
      <c r="AQ20" s="102"/>
      <c r="AR20" s="102"/>
      <c r="AS20" s="102"/>
      <c r="AT20" s="3" t="s">
        <v>265</v>
      </c>
      <c r="AU20" s="1" t="s">
        <v>325</v>
      </c>
    </row>
    <row r="21" spans="3:47" ht="10.5" customHeight="1">
      <c r="C21" s="347" t="s">
        <v>58</v>
      </c>
      <c r="D21" s="347"/>
      <c r="E21" s="13"/>
      <c r="F21" s="13"/>
      <c r="G21" s="11" t="s">
        <v>97</v>
      </c>
      <c r="H21" s="571" t="s">
        <v>1</v>
      </c>
      <c r="I21" s="134" t="str">
        <f>IF(利用区分=1,"●","〇")</f>
        <v>〇</v>
      </c>
      <c r="J21" s="415" t="s">
        <v>204</v>
      </c>
      <c r="K21" s="415"/>
      <c r="L21" s="415"/>
      <c r="M21" s="277"/>
      <c r="N21" s="279" t="str">
        <f>IF(利用区分=5,"●","〇")</f>
        <v>〇</v>
      </c>
      <c r="O21" s="461" t="s">
        <v>233</v>
      </c>
      <c r="P21" s="415"/>
      <c r="Q21" s="415"/>
      <c r="R21" s="572" t="s">
        <v>59</v>
      </c>
      <c r="S21" s="135" t="str">
        <f>IF(M6=1,"●","〇")</f>
        <v>〇</v>
      </c>
      <c r="T21" s="423" t="s">
        <v>166</v>
      </c>
      <c r="U21" s="423"/>
      <c r="V21" s="423"/>
      <c r="W21" s="136" t="str">
        <f>IF(M6=5,"●","〇")</f>
        <v>〇</v>
      </c>
      <c r="X21" s="463" t="s">
        <v>169</v>
      </c>
      <c r="Y21" s="463"/>
      <c r="Z21" s="463"/>
      <c r="AA21" s="573"/>
      <c r="AB21" s="574"/>
      <c r="AC21" s="574"/>
      <c r="AD21" s="574"/>
      <c r="AE21" s="574"/>
      <c r="AF21" s="574"/>
      <c r="AG21" s="574"/>
      <c r="AH21" s="574"/>
      <c r="AI21" s="574"/>
      <c r="AJ21" s="574"/>
      <c r="AK21" s="574"/>
      <c r="AL21" s="567"/>
      <c r="AP21" s="102" t="s">
        <v>270</v>
      </c>
      <c r="AQ21" s="102"/>
      <c r="AR21" s="102"/>
      <c r="AS21" s="102"/>
      <c r="AT21" s="3" t="s">
        <v>266</v>
      </c>
      <c r="AU21" s="1" t="s">
        <v>327</v>
      </c>
    </row>
    <row r="22" spans="3:47" ht="11.25" customHeight="1">
      <c r="C22" s="347"/>
      <c r="D22" s="347"/>
      <c r="E22" s="447">
        <f>N6</f>
        <v>35</v>
      </c>
      <c r="F22" s="447"/>
      <c r="G22" s="447"/>
      <c r="H22" s="571"/>
      <c r="I22" s="134" t="str">
        <f>IF(利用区分=2,"●","〇")</f>
        <v>〇</v>
      </c>
      <c r="J22" s="415" t="s">
        <v>205</v>
      </c>
      <c r="K22" s="415"/>
      <c r="L22" s="415"/>
      <c r="M22" s="277"/>
      <c r="N22" s="133" t="str">
        <f>IF(利用区分=6,"●","〇")</f>
        <v>〇</v>
      </c>
      <c r="O22" s="453" t="s">
        <v>207</v>
      </c>
      <c r="P22" s="453"/>
      <c r="Q22" s="453"/>
      <c r="R22" s="572"/>
      <c r="S22" s="135" t="str">
        <f>IF(M6=2,"●","〇")</f>
        <v>〇</v>
      </c>
      <c r="T22" s="463" t="s">
        <v>167</v>
      </c>
      <c r="U22" s="463"/>
      <c r="V22" s="463"/>
      <c r="W22" s="136" t="str">
        <f>IF(M6=6,"●","〇")</f>
        <v>〇</v>
      </c>
      <c r="X22" s="463" t="s">
        <v>170</v>
      </c>
      <c r="Y22" s="463"/>
      <c r="Z22" s="463"/>
      <c r="AA22" s="573"/>
      <c r="AB22" s="574"/>
      <c r="AC22" s="574"/>
      <c r="AD22" s="574"/>
      <c r="AE22" s="574"/>
      <c r="AF22" s="574"/>
      <c r="AG22" s="574"/>
      <c r="AH22" s="574"/>
      <c r="AI22" s="574"/>
      <c r="AJ22" s="574"/>
      <c r="AK22" s="574"/>
      <c r="AL22" s="567"/>
      <c r="AN22" s="102" t="s">
        <v>270</v>
      </c>
      <c r="AO22" s="102"/>
      <c r="AP22" s="102"/>
      <c r="AQ22" s="102"/>
      <c r="AT22" s="3" t="s">
        <v>267</v>
      </c>
      <c r="AU22" s="1" t="s">
        <v>325</v>
      </c>
    </row>
    <row r="23" spans="3:47" s="2" customFormat="1" ht="10.5" customHeight="1">
      <c r="C23" s="347" t="s">
        <v>60</v>
      </c>
      <c r="D23" s="347"/>
      <c r="E23" s="412"/>
      <c r="F23" s="412"/>
      <c r="G23" s="11" t="s">
        <v>98</v>
      </c>
      <c r="H23" s="571"/>
      <c r="I23" s="134" t="str">
        <f>IF(利用区分=3,"●","〇")</f>
        <v>●</v>
      </c>
      <c r="J23" s="415" t="s">
        <v>206</v>
      </c>
      <c r="K23" s="415"/>
      <c r="L23" s="415"/>
      <c r="M23" s="277"/>
      <c r="N23" s="133" t="str">
        <f>IF(利用区分=7,"●","〇")</f>
        <v>〇</v>
      </c>
      <c r="O23" s="461" t="s">
        <v>208</v>
      </c>
      <c r="P23" s="461"/>
      <c r="Q23" s="461"/>
      <c r="R23" s="572"/>
      <c r="S23" s="135" t="str">
        <f>IF(M6=3,"●","〇")</f>
        <v>〇</v>
      </c>
      <c r="T23" s="568" t="s">
        <v>168</v>
      </c>
      <c r="U23" s="568"/>
      <c r="V23" s="568"/>
      <c r="W23" s="136" t="str">
        <f>IF(M6=7,"●","〇")</f>
        <v>〇</v>
      </c>
      <c r="X23" s="463" t="s">
        <v>171</v>
      </c>
      <c r="Y23" s="463"/>
      <c r="Z23" s="463"/>
      <c r="AA23" s="573"/>
      <c r="AB23" s="574"/>
      <c r="AC23" s="574"/>
      <c r="AD23" s="574"/>
      <c r="AE23" s="574"/>
      <c r="AF23" s="574"/>
      <c r="AG23" s="574"/>
      <c r="AH23" s="574"/>
      <c r="AI23" s="574"/>
      <c r="AJ23" s="574"/>
      <c r="AK23" s="574"/>
      <c r="AL23" s="567"/>
      <c r="AP23" s="103" t="s">
        <v>269</v>
      </c>
      <c r="AQ23" s="103"/>
      <c r="AR23" s="103"/>
      <c r="AS23" s="103"/>
      <c r="AT23" s="3" t="s">
        <v>268</v>
      </c>
      <c r="AU23" s="2" t="s">
        <v>325</v>
      </c>
    </row>
    <row r="24" spans="3:47" s="2" customFormat="1" ht="11.25" customHeight="1">
      <c r="C24" s="347"/>
      <c r="D24" s="347"/>
      <c r="E24" s="447">
        <f>P6</f>
        <v>32.14</v>
      </c>
      <c r="F24" s="447"/>
      <c r="G24" s="447"/>
      <c r="H24" s="571"/>
      <c r="I24" s="134" t="str">
        <f>IF(利用区分=4,"●","〇")</f>
        <v>〇</v>
      </c>
      <c r="J24" s="415" t="s">
        <v>232</v>
      </c>
      <c r="K24" s="415"/>
      <c r="L24" s="415"/>
      <c r="M24" s="277"/>
      <c r="N24" s="289" t="str">
        <f>IF(OR(利用区分=8,利用区分=9,利用区分=10),"●","〇")</f>
        <v>〇</v>
      </c>
      <c r="O24" s="570" t="s">
        <v>556</v>
      </c>
      <c r="P24" s="570"/>
      <c r="Q24" s="570"/>
      <c r="R24" s="572"/>
      <c r="S24" s="279" t="str">
        <f>IF(M6=4,"●","〇")</f>
        <v>●</v>
      </c>
      <c r="T24" s="569" t="s">
        <v>172</v>
      </c>
      <c r="U24" s="569"/>
      <c r="V24" s="569"/>
      <c r="W24" s="569"/>
      <c r="X24" s="569"/>
      <c r="Y24" s="27"/>
      <c r="Z24" s="210"/>
      <c r="AA24" s="573"/>
      <c r="AB24" s="574"/>
      <c r="AC24" s="574"/>
      <c r="AD24" s="574"/>
      <c r="AE24" s="574"/>
      <c r="AF24" s="574"/>
      <c r="AG24" s="574"/>
      <c r="AH24" s="574"/>
      <c r="AI24" s="574"/>
      <c r="AJ24" s="574"/>
      <c r="AK24" s="574"/>
      <c r="AL24" s="567"/>
      <c r="AP24" s="103" t="s">
        <v>270</v>
      </c>
      <c r="AQ24" s="103"/>
      <c r="AR24" s="103"/>
      <c r="AS24" s="103"/>
      <c r="AT24" s="2" t="s">
        <v>474</v>
      </c>
      <c r="AU24" s="2" t="s">
        <v>325</v>
      </c>
    </row>
    <row r="25" spans="3:47" s="2" customFormat="1" ht="11.25" customHeight="1">
      <c r="C25" s="345" t="s">
        <v>201</v>
      </c>
      <c r="D25" s="19">
        <v>1</v>
      </c>
      <c r="E25" s="351" t="s">
        <v>61</v>
      </c>
      <c r="F25" s="351"/>
      <c r="G25" s="351"/>
      <c r="H25" s="351"/>
      <c r="I25" s="351"/>
      <c r="J25" s="351"/>
      <c r="K25" s="312"/>
      <c r="L25" s="16"/>
      <c r="M25" s="16"/>
      <c r="N25" s="13"/>
      <c r="O25" s="13"/>
      <c r="P25" s="13"/>
      <c r="Q25" s="13"/>
      <c r="R25" s="13"/>
      <c r="S25" s="13"/>
      <c r="T25" s="13"/>
      <c r="U25" s="13"/>
      <c r="V25" s="13"/>
      <c r="W25" s="13"/>
      <c r="X25" s="13"/>
      <c r="Y25" s="13"/>
      <c r="Z25" s="255"/>
      <c r="AA25" s="13"/>
      <c r="AB25" s="13"/>
      <c r="AC25" s="13"/>
      <c r="AD25" s="347" t="s">
        <v>62</v>
      </c>
      <c r="AE25" s="347"/>
      <c r="AF25" s="347"/>
      <c r="AG25" s="347"/>
      <c r="AH25" s="347"/>
      <c r="AI25" s="347"/>
      <c r="AJ25" s="11" t="s">
        <v>2</v>
      </c>
      <c r="AL25" s="567"/>
      <c r="AP25" s="103" t="s">
        <v>270</v>
      </c>
      <c r="AQ25" s="103"/>
      <c r="AR25" s="103"/>
      <c r="AS25" s="103"/>
      <c r="AT25" s="2" t="s">
        <v>475</v>
      </c>
      <c r="AU25" s="2" t="s">
        <v>325</v>
      </c>
    </row>
    <row r="26" spans="3:47" s="2" customFormat="1" ht="9" customHeight="1">
      <c r="C26" s="345"/>
      <c r="D26" s="287"/>
      <c r="E26" s="19"/>
      <c r="F26" s="408" t="s">
        <v>5</v>
      </c>
      <c r="G26" s="408"/>
      <c r="H26" s="408"/>
      <c r="I26" s="408"/>
      <c r="J26" s="408"/>
      <c r="K26" s="20"/>
      <c r="L26" s="20"/>
      <c r="M26" s="361" t="s">
        <v>63</v>
      </c>
      <c r="N26" s="361"/>
      <c r="O26" s="361"/>
      <c r="P26" s="361"/>
      <c r="Q26" s="361"/>
      <c r="R26" s="361"/>
      <c r="S26" s="361"/>
      <c r="T26" s="13"/>
      <c r="U26" s="13"/>
      <c r="V26" s="13"/>
      <c r="W26" s="13"/>
      <c r="X26" s="13"/>
      <c r="Y26" s="13"/>
      <c r="Z26" s="255"/>
      <c r="AA26" s="13"/>
      <c r="AB26" s="13"/>
      <c r="AC26" s="13"/>
      <c r="AD26" s="358">
        <f>ROUNDDOWN(F27*O27,0)</f>
        <v>291000</v>
      </c>
      <c r="AE26" s="358"/>
      <c r="AF26" s="358"/>
      <c r="AG26" s="358"/>
      <c r="AH26" s="358"/>
      <c r="AI26" s="358"/>
      <c r="AJ26" s="358"/>
      <c r="AK26" s="383" t="s">
        <v>99</v>
      </c>
      <c r="AL26" s="111"/>
      <c r="AP26" s="103" t="s">
        <v>270</v>
      </c>
      <c r="AQ26" s="103"/>
      <c r="AR26" s="103"/>
      <c r="AS26" s="103"/>
      <c r="AT26" s="2" t="s">
        <v>476</v>
      </c>
      <c r="AU26" s="2" t="s">
        <v>325</v>
      </c>
    </row>
    <row r="27" spans="3:47" s="2" customFormat="1" ht="14.25" customHeight="1">
      <c r="C27" s="345"/>
      <c r="D27" s="287"/>
      <c r="E27" s="19"/>
      <c r="F27" s="413">
        <f>正面路線価</f>
        <v>300000</v>
      </c>
      <c r="G27" s="413"/>
      <c r="H27" s="413"/>
      <c r="I27" s="413"/>
      <c r="J27" s="413"/>
      <c r="K27" s="347" t="s">
        <v>100</v>
      </c>
      <c r="L27" s="347"/>
      <c r="M27" s="114"/>
      <c r="N27" s="114"/>
      <c r="O27" s="414">
        <f>IF(奥行距離="",1,VLOOKUP(奥行距離,補正率表!A3:I31,MATCH(地区区分,補正率表!A2:I2,0)))</f>
        <v>0.97</v>
      </c>
      <c r="P27" s="414"/>
      <c r="Q27" s="13"/>
      <c r="R27" s="13"/>
      <c r="S27" s="13"/>
      <c r="T27" s="13"/>
      <c r="U27" s="13"/>
      <c r="V27" s="13"/>
      <c r="W27" s="13"/>
      <c r="X27" s="13"/>
      <c r="Y27" s="13"/>
      <c r="Z27" s="255"/>
      <c r="AA27" s="13"/>
      <c r="AB27" s="13"/>
      <c r="AC27" s="13"/>
      <c r="AD27" s="358"/>
      <c r="AE27" s="358"/>
      <c r="AF27" s="358"/>
      <c r="AG27" s="358"/>
      <c r="AH27" s="358"/>
      <c r="AI27" s="358"/>
      <c r="AJ27" s="358"/>
      <c r="AK27" s="383"/>
      <c r="AL27" s="111"/>
      <c r="AN27" s="137"/>
      <c r="AP27" s="103" t="s">
        <v>269</v>
      </c>
      <c r="AQ27" s="103"/>
      <c r="AR27" s="103"/>
      <c r="AS27" s="103"/>
      <c r="AT27" s="2" t="s">
        <v>477</v>
      </c>
      <c r="AU27" s="2" t="s">
        <v>328</v>
      </c>
    </row>
    <row r="28" spans="3:47" s="2" customFormat="1" ht="11.25" customHeight="1">
      <c r="C28" s="345"/>
      <c r="D28" s="19">
        <v>2</v>
      </c>
      <c r="E28" s="351" t="s">
        <v>64</v>
      </c>
      <c r="F28" s="351"/>
      <c r="G28" s="351"/>
      <c r="H28" s="351"/>
      <c r="I28" s="351"/>
      <c r="J28" s="351"/>
      <c r="K28" s="312"/>
      <c r="M28" s="291"/>
      <c r="N28" s="60"/>
      <c r="P28" s="276"/>
      <c r="Q28" s="290"/>
      <c r="T28" s="290"/>
      <c r="V28" s="276"/>
      <c r="Z28" s="276"/>
      <c r="AA28" s="276"/>
      <c r="AB28" s="276"/>
      <c r="AC28" s="276"/>
      <c r="AD28" s="347" t="s">
        <v>62</v>
      </c>
      <c r="AE28" s="347"/>
      <c r="AF28" s="347"/>
      <c r="AG28" s="347"/>
      <c r="AH28" s="347"/>
      <c r="AI28" s="347"/>
      <c r="AJ28" s="11" t="s">
        <v>2</v>
      </c>
      <c r="AL28" s="111"/>
      <c r="AN28" s="137"/>
      <c r="AP28" s="103" t="s">
        <v>270</v>
      </c>
      <c r="AQ28" s="103"/>
      <c r="AR28" s="103"/>
      <c r="AS28" s="103"/>
      <c r="AT28" s="2" t="s">
        <v>478</v>
      </c>
      <c r="AU28" s="2" t="s">
        <v>325</v>
      </c>
    </row>
    <row r="29" spans="3:47" s="2" customFormat="1" ht="9" customHeight="1">
      <c r="C29" s="345"/>
      <c r="D29" s="287"/>
      <c r="E29" s="19"/>
      <c r="F29" s="347" t="s">
        <v>104</v>
      </c>
      <c r="G29" s="347"/>
      <c r="H29" s="347"/>
      <c r="I29" s="347"/>
      <c r="J29" s="16"/>
      <c r="K29" s="16"/>
      <c r="L29" s="275" t="s">
        <v>101</v>
      </c>
      <c r="M29" s="462" t="str">
        <f>IF(AND(側方路線価１="",側方路線価２="",裏面路線価=""),"",IF(AND(側方路線価１="",側方路線価２=""),"裏面","側方"))</f>
        <v>側方</v>
      </c>
      <c r="N29" s="462"/>
      <c r="O29" s="408" t="s">
        <v>196</v>
      </c>
      <c r="P29" s="408"/>
      <c r="Q29" s="459" t="s">
        <v>516</v>
      </c>
      <c r="R29" s="459"/>
      <c r="S29" s="459"/>
      <c r="T29" s="459"/>
      <c r="U29" s="276"/>
      <c r="V29" s="278" t="s">
        <v>102</v>
      </c>
      <c r="W29" s="462" t="str">
        <f>IF(AND(側方路線価１="",側方路線価２="",裏面路線価=""),"",IF(AND(側方路線価１="",側方路線価２=""),"二方","側方"))</f>
        <v>側方</v>
      </c>
      <c r="X29" s="462"/>
      <c r="Y29" s="466" t="s">
        <v>197</v>
      </c>
      <c r="Z29" s="466"/>
      <c r="AA29" s="466"/>
      <c r="AB29" s="466"/>
      <c r="AC29" s="466"/>
      <c r="AD29" s="358">
        <f>IF(F30="","",IF(Y30=0,F30+ROUNDDOWN(L30*R30*V30,0),F30+ROUNDDOWN(L30*R30*V30*Y30/AA30,0)))</f>
        <v>305550</v>
      </c>
      <c r="AE29" s="358"/>
      <c r="AF29" s="358"/>
      <c r="AG29" s="358"/>
      <c r="AH29" s="358"/>
      <c r="AI29" s="358"/>
      <c r="AJ29" s="358"/>
      <c r="AK29" s="383" t="s">
        <v>103</v>
      </c>
      <c r="AO29" s="103" t="s">
        <v>269</v>
      </c>
      <c r="AP29" s="103"/>
      <c r="AQ29" s="103"/>
      <c r="AR29" s="103"/>
      <c r="AU29" s="2" t="s">
        <v>325</v>
      </c>
    </row>
    <row r="30" spans="3:47" s="2" customFormat="1" ht="14.25" customHeight="1">
      <c r="C30" s="345"/>
      <c r="D30" s="287"/>
      <c r="E30" s="19"/>
      <c r="F30" s="413">
        <f>IF(AND(側方路線価１="",側方路線価２="",裏面路線価=""),"",価額Ａ)</f>
        <v>291000</v>
      </c>
      <c r="G30" s="413"/>
      <c r="H30" s="413"/>
      <c r="I30" s="413"/>
      <c r="J30" s="459" t="s">
        <v>65</v>
      </c>
      <c r="K30" s="459"/>
      <c r="L30" s="413">
        <f>IF(AND(側方路線価１="",側方路線価２="",裏面路線価=""),"",IF(AND(側方路線価１="",側方路線価２=""),裏面路線価,側方路線価１))</f>
        <v>250000</v>
      </c>
      <c r="M30" s="413"/>
      <c r="N30" s="413"/>
      <c r="O30" s="413"/>
      <c r="P30" s="115" t="s">
        <v>105</v>
      </c>
      <c r="Q30" s="105"/>
      <c r="R30" s="414">
        <f>IF(AND(側方路線価１="",側方路線価２="",裏面路線価=""),"",IF(AND(側方路線価１="",側方路線価２=""),IF(P9="",1,VLOOKUP(P9,補正率表!$A$3:$I$31,MATCH(地区区分,補正率表!$A$2:$I$2,0))),IF(P7="",1,VLOOKUP(P7,補正率表!$A$3:$I$31,MATCH(地区区分,補正率表!$A$2:$I$2,0)))))</f>
        <v>0.97</v>
      </c>
      <c r="S30" s="414"/>
      <c r="T30" s="444" t="s">
        <v>106</v>
      </c>
      <c r="U30" s="444"/>
      <c r="V30" s="420">
        <f>IF(AND(側方路線価１="",側方路線価２="",裏面路線価=""),"",IF(AND(側方路線価１="",側方路線価２=""),HLOOKUP(地区区分,補正率表!C34:I37,4,FALSE),IF(側方１準角地=FALSE,HLOOKUP(地区区分,補正率表!C34:I35,2,FALSE),HLOOKUP(地区区分,補正率表!C34:I36,3,FALSE))))</f>
        <v>0.08</v>
      </c>
      <c r="W30" s="420"/>
      <c r="X30" s="265" t="str">
        <f>IF(OR(Y30=0,Y30=""),"","×")</f>
        <v>×</v>
      </c>
      <c r="Y30" s="266">
        <f>IF(AND(側方路線価１="",側方路線価２="",裏面路線価=""),"",IF(AND(側方路線価１="",側方路線価２=""),U9,U7))</f>
        <v>15</v>
      </c>
      <c r="Z30" s="264" t="str">
        <f>IF(OR(Y30=0,Y30=""),"","/")</f>
        <v>/</v>
      </c>
      <c r="AA30" s="575">
        <f>IF(AND(側方路線価１="",側方路線価２="",裏面路線価=""),"",IF(AND(側方路線価１="",側方路線価２=""),X9,X7))</f>
        <v>20</v>
      </c>
      <c r="AB30" s="575"/>
      <c r="AC30" s="13" t="s">
        <v>107</v>
      </c>
      <c r="AD30" s="358"/>
      <c r="AE30" s="358"/>
      <c r="AF30" s="358"/>
      <c r="AG30" s="358"/>
      <c r="AH30" s="358"/>
      <c r="AI30" s="358"/>
      <c r="AJ30" s="358"/>
      <c r="AK30" s="383"/>
      <c r="AL30" s="21"/>
      <c r="AO30" s="103" t="s">
        <v>270</v>
      </c>
      <c r="AP30" s="103"/>
      <c r="AQ30" s="103"/>
      <c r="AR30" s="103"/>
      <c r="AT30" s="3" t="s">
        <v>225</v>
      </c>
      <c r="AU30" s="2" t="s">
        <v>325</v>
      </c>
    </row>
    <row r="31" spans="3:47" s="2" customFormat="1" ht="11.25" customHeight="1">
      <c r="C31" s="345"/>
      <c r="D31" s="19">
        <v>3</v>
      </c>
      <c r="E31" s="351" t="s">
        <v>66</v>
      </c>
      <c r="F31" s="351"/>
      <c r="G31" s="351"/>
      <c r="H31" s="351"/>
      <c r="I31" s="351"/>
      <c r="J31" s="351"/>
      <c r="K31" s="312"/>
      <c r="P31" s="276"/>
      <c r="Q31" s="290"/>
      <c r="T31" s="290"/>
      <c r="V31" s="276"/>
      <c r="Z31" s="276"/>
      <c r="AA31" s="276"/>
      <c r="AB31" s="276"/>
      <c r="AC31" s="276"/>
      <c r="AD31" s="347" t="s">
        <v>62</v>
      </c>
      <c r="AE31" s="347"/>
      <c r="AF31" s="347"/>
      <c r="AG31" s="347"/>
      <c r="AH31" s="347"/>
      <c r="AI31" s="347"/>
      <c r="AJ31" s="11" t="s">
        <v>2</v>
      </c>
      <c r="AL31" s="21"/>
      <c r="AM31" s="103"/>
      <c r="AN31" s="137"/>
      <c r="AP31" s="103" t="s">
        <v>269</v>
      </c>
      <c r="AQ31" s="103"/>
      <c r="AR31" s="103"/>
      <c r="AS31" s="103"/>
      <c r="AT31" s="3" t="s">
        <v>226</v>
      </c>
      <c r="AU31" s="2" t="s">
        <v>325</v>
      </c>
    </row>
    <row r="32" spans="3:47" s="2" customFormat="1" ht="9" customHeight="1">
      <c r="C32" s="345"/>
      <c r="D32" s="287"/>
      <c r="E32" s="19"/>
      <c r="F32" s="347" t="s">
        <v>109</v>
      </c>
      <c r="G32" s="347"/>
      <c r="H32" s="347"/>
      <c r="I32" s="347"/>
      <c r="J32" s="11"/>
      <c r="K32" s="16"/>
      <c r="L32" s="275" t="s">
        <v>95</v>
      </c>
      <c r="M32" s="462" t="str">
        <f>IF(OR(COUNTBLANK(E7:E9)=3,COUNTBLANK(E7:E9)=2),"",IF(側方路線価２="","裏面","側方"))</f>
        <v>側方</v>
      </c>
      <c r="N32" s="462"/>
      <c r="O32" s="408" t="s">
        <v>196</v>
      </c>
      <c r="P32" s="408"/>
      <c r="Q32" s="459" t="s">
        <v>516</v>
      </c>
      <c r="R32" s="459"/>
      <c r="S32" s="459"/>
      <c r="T32" s="459"/>
      <c r="U32" s="276"/>
      <c r="V32" s="278" t="s">
        <v>95</v>
      </c>
      <c r="W32" s="462" t="str">
        <f>IF(OR(COUNTBLANK(E7:E9)=3,COUNTBLANK(E7:E9)=2),"",IF(側方路線価２="","二方","側方"))</f>
        <v>側方</v>
      </c>
      <c r="X32" s="462"/>
      <c r="Y32" s="466" t="s">
        <v>197</v>
      </c>
      <c r="Z32" s="466"/>
      <c r="AA32" s="466"/>
      <c r="AB32" s="466"/>
      <c r="AC32" s="466"/>
      <c r="AD32" s="358">
        <f>IF(F33="","",IF(Y33=0,F33+ROUNDDOWN(L33*R33*V33,0),F33+ROUNDDOWN(L33*R33*V33*Y33/AA33,0)))</f>
        <v>321070</v>
      </c>
      <c r="AE32" s="358"/>
      <c r="AF32" s="358"/>
      <c r="AG32" s="358"/>
      <c r="AH32" s="358"/>
      <c r="AI32" s="358"/>
      <c r="AJ32" s="358"/>
      <c r="AK32" s="383" t="s">
        <v>108</v>
      </c>
      <c r="AL32" s="21"/>
      <c r="AO32" s="103" t="s">
        <v>270</v>
      </c>
      <c r="AP32" s="103"/>
      <c r="AQ32" s="103"/>
      <c r="AR32" s="103"/>
      <c r="AT32" s="3" t="s">
        <v>231</v>
      </c>
      <c r="AU32" s="2" t="s">
        <v>329</v>
      </c>
    </row>
    <row r="33" spans="3:49" s="2" customFormat="1" ht="14.25" customHeight="1">
      <c r="C33" s="345"/>
      <c r="D33" s="287"/>
      <c r="E33" s="19"/>
      <c r="F33" s="413">
        <f>IF(OR(COUNTBLANK(E7:E9)=3,COUNTBLANK(E7:E9)=2),"",価額Ｂ)</f>
        <v>305550</v>
      </c>
      <c r="G33" s="413"/>
      <c r="H33" s="413"/>
      <c r="I33" s="413"/>
      <c r="J33" s="459" t="s">
        <v>65</v>
      </c>
      <c r="K33" s="459"/>
      <c r="L33" s="413">
        <f>IF(OR(COUNTBLANK(E7:E9)=3,COUNTBLANK(E7:E9)=2),"",IF(側方路線価２="",裏面路線価,側方路線価２))</f>
        <v>200000</v>
      </c>
      <c r="M33" s="413"/>
      <c r="N33" s="413"/>
      <c r="O33" s="413"/>
      <c r="P33" s="115" t="s">
        <v>105</v>
      </c>
      <c r="Q33" s="105"/>
      <c r="R33" s="414">
        <f>IF(OR(COUNTBLANK(E7:E9)=3,COUNTBLANK(E7:E9)=2),"",IF(側方路線価２="",IF(P9="",1,VLOOKUP(P9,補正率表!$A$3:$I$31,MATCH(地区区分,補正率表!$A$2:$I$2,0))),IF(P8="",1,VLOOKUP(P8,補正率表!$A$3:$I$31,MATCH(地区区分,補正率表!$A$2:$I$2,0)))))</f>
        <v>0.97</v>
      </c>
      <c r="S33" s="414"/>
      <c r="T33" s="444" t="s">
        <v>106</v>
      </c>
      <c r="U33" s="444"/>
      <c r="V33" s="420">
        <f>IF(OR(COUNTBLANK(E7:E9)=3,COUNTBLANK(E7:E9)=2),"",IF(側方路線価２="",HLOOKUP(地区区分,補正率表!C34:I37,4,FALSE),IF(側方２準角地=FALSE,HLOOKUP(地区区分,補正率表!C34:I35,2,FALSE),HLOOKUP(地区区分,補正率表!C34:I36,3,FALSE))))</f>
        <v>0.08</v>
      </c>
      <c r="W33" s="420"/>
      <c r="X33" s="265" t="str">
        <f>IF(OR(Y33=0,Y33=""),"","×")</f>
        <v/>
      </c>
      <c r="Y33" s="266">
        <f>IF(OR(COUNTBLANK(E7:E9)=3,COUNTBLANK(E7:E9)=2),"",IF(側方路線価２="",U9,U8))</f>
        <v>0</v>
      </c>
      <c r="Z33" s="264" t="str">
        <f>IF(OR(Y33=0,Y33=""),"","/")</f>
        <v/>
      </c>
      <c r="AA33" s="575">
        <f>IF(OR(COUNTBLANK(E7:E9)=3,COUNTBLANK(E7:E9)=2),"",IF(側方路線価２="",X9,X8))</f>
        <v>0</v>
      </c>
      <c r="AB33" s="575"/>
      <c r="AC33" s="13" t="s">
        <v>107</v>
      </c>
      <c r="AD33" s="358"/>
      <c r="AE33" s="358"/>
      <c r="AF33" s="358"/>
      <c r="AG33" s="358"/>
      <c r="AH33" s="358"/>
      <c r="AI33" s="358"/>
      <c r="AJ33" s="358"/>
      <c r="AK33" s="383"/>
      <c r="AL33" s="21"/>
      <c r="AO33" s="103" t="s">
        <v>269</v>
      </c>
      <c r="AP33" s="103"/>
      <c r="AQ33" s="103"/>
      <c r="AR33" s="103"/>
      <c r="AT33" s="3" t="s">
        <v>227</v>
      </c>
      <c r="AU33" s="2" t="s">
        <v>325</v>
      </c>
    </row>
    <row r="34" spans="3:49" s="2" customFormat="1" ht="11.25" customHeight="1">
      <c r="C34" s="345"/>
      <c r="D34" s="19">
        <v>4</v>
      </c>
      <c r="E34" s="351" t="s">
        <v>67</v>
      </c>
      <c r="F34" s="351"/>
      <c r="G34" s="351"/>
      <c r="H34" s="351"/>
      <c r="I34" s="351"/>
      <c r="J34" s="351"/>
      <c r="K34" s="312"/>
      <c r="P34" s="276"/>
      <c r="Q34" s="290"/>
      <c r="T34" s="290"/>
      <c r="V34" s="276"/>
      <c r="Z34" s="276"/>
      <c r="AA34" s="276"/>
      <c r="AB34" s="276"/>
      <c r="AC34" s="276"/>
      <c r="AD34" s="347" t="s">
        <v>62</v>
      </c>
      <c r="AE34" s="347"/>
      <c r="AF34" s="347"/>
      <c r="AG34" s="347"/>
      <c r="AH34" s="347"/>
      <c r="AI34" s="347"/>
      <c r="AJ34" s="11" t="s">
        <v>2</v>
      </c>
      <c r="AL34" s="21"/>
      <c r="AM34" s="103"/>
      <c r="AN34" s="137"/>
      <c r="AP34" s="103" t="s">
        <v>269</v>
      </c>
      <c r="AQ34" s="103"/>
      <c r="AR34" s="103"/>
      <c r="AS34" s="103"/>
      <c r="AT34" s="3" t="s">
        <v>228</v>
      </c>
      <c r="AU34" s="2" t="s">
        <v>325</v>
      </c>
    </row>
    <row r="35" spans="3:49" s="2" customFormat="1" ht="9" customHeight="1">
      <c r="C35" s="345"/>
      <c r="D35" s="287"/>
      <c r="E35" s="19"/>
      <c r="F35" s="347" t="s">
        <v>111</v>
      </c>
      <c r="G35" s="347"/>
      <c r="H35" s="347"/>
      <c r="I35" s="347"/>
      <c r="J35" s="11"/>
      <c r="K35" s="16"/>
      <c r="L35" s="275" t="s">
        <v>95</v>
      </c>
      <c r="M35" s="462" t="str">
        <f>IF(OR(側方路線価１="",側方路線価２="",裏面路線価=""),"","裏面")</f>
        <v>裏面</v>
      </c>
      <c r="N35" s="462"/>
      <c r="O35" s="408" t="s">
        <v>196</v>
      </c>
      <c r="P35" s="408"/>
      <c r="Q35" s="459" t="s">
        <v>516</v>
      </c>
      <c r="R35" s="459"/>
      <c r="S35" s="459"/>
      <c r="T35" s="459"/>
      <c r="U35" s="276"/>
      <c r="V35" s="278" t="s">
        <v>95</v>
      </c>
      <c r="W35" s="462" t="str">
        <f>IF(OR(側方路線価１="",側方路線価２="",裏面路線価=""),"","二方")</f>
        <v>二方</v>
      </c>
      <c r="X35" s="462"/>
      <c r="Y35" s="466" t="s">
        <v>197</v>
      </c>
      <c r="Z35" s="466"/>
      <c r="AA35" s="466"/>
      <c r="AB35" s="466"/>
      <c r="AC35" s="466"/>
      <c r="AD35" s="358">
        <f>IF(F36="","",IF(Y36=0,ROUNDDOWN(F36+(L36*R36*V36),0),ROUNDDOWN(F36+(L36*R36*V36*Y36/AA36),0)))</f>
        <v>328345</v>
      </c>
      <c r="AE35" s="358"/>
      <c r="AF35" s="358"/>
      <c r="AG35" s="358"/>
      <c r="AH35" s="358"/>
      <c r="AI35" s="358"/>
      <c r="AJ35" s="358"/>
      <c r="AK35" s="383" t="s">
        <v>110</v>
      </c>
      <c r="AL35" s="21"/>
      <c r="AM35" s="103"/>
      <c r="AN35" s="137"/>
      <c r="AP35" s="103"/>
      <c r="AQ35" s="103"/>
      <c r="AR35" s="103"/>
      <c r="AS35" s="103"/>
      <c r="AT35" s="3" t="s">
        <v>229</v>
      </c>
      <c r="AU35" s="2" t="s">
        <v>325</v>
      </c>
    </row>
    <row r="36" spans="3:49" s="2" customFormat="1" ht="14.25" customHeight="1">
      <c r="C36" s="345"/>
      <c r="D36" s="287"/>
      <c r="E36" s="19"/>
      <c r="F36" s="413">
        <f>IF(OR(側方路線価１="",側方路線価２="",裏面路線価=""),"",価額Ｃ)</f>
        <v>321070</v>
      </c>
      <c r="G36" s="413"/>
      <c r="H36" s="413"/>
      <c r="I36" s="413"/>
      <c r="J36" s="459" t="s">
        <v>65</v>
      </c>
      <c r="K36" s="459"/>
      <c r="L36" s="413">
        <f>IF(OR(側方路線価１="",側方路線価２="",裏面路線価=""),"",裏面路線価)</f>
        <v>150000</v>
      </c>
      <c r="M36" s="413"/>
      <c r="N36" s="413"/>
      <c r="O36" s="413"/>
      <c r="P36" s="115" t="s">
        <v>105</v>
      </c>
      <c r="Q36" s="105"/>
      <c r="R36" s="414">
        <f>IF(OR(側方路線価１="",側方路線価２="",裏面路線価=""),"",IF(P9="",1,VLOOKUP(P9,補正率表!$A$3:$I$31,MATCH(地区区分,補正率表!$A$2:$I$2,0))))</f>
        <v>0.97</v>
      </c>
      <c r="S36" s="414"/>
      <c r="T36" s="444" t="s">
        <v>106</v>
      </c>
      <c r="U36" s="444"/>
      <c r="V36" s="420">
        <f>IF(OR(側方路線価１="",側方路線価２="",裏面路線価=""),"",HLOOKUP(地区区分,補正率表!C34:I37,4,FALSE))</f>
        <v>0.05</v>
      </c>
      <c r="W36" s="420"/>
      <c r="X36" s="265" t="str">
        <f>IF(OR(Y36=0,Y36=""),"","×")</f>
        <v/>
      </c>
      <c r="Y36" s="266">
        <f>IF(OR(側方路線価１="",側方路線価２="",裏面路線価=""),"",U9)</f>
        <v>0</v>
      </c>
      <c r="Z36" s="264" t="str">
        <f>IF(OR(Y36=0,Y36=""),"","/")</f>
        <v/>
      </c>
      <c r="AA36" s="575">
        <f>IF(OR(側方路線価１="",側方路線価２="",裏面路線価=""),"",X9)</f>
        <v>0</v>
      </c>
      <c r="AB36" s="575"/>
      <c r="AC36" s="13" t="s">
        <v>107</v>
      </c>
      <c r="AD36" s="358"/>
      <c r="AE36" s="358"/>
      <c r="AF36" s="358"/>
      <c r="AG36" s="358"/>
      <c r="AH36" s="358"/>
      <c r="AI36" s="358"/>
      <c r="AJ36" s="358"/>
      <c r="AK36" s="383"/>
      <c r="AL36" s="21"/>
      <c r="AM36" s="103"/>
      <c r="AN36" s="137"/>
      <c r="AP36" s="103"/>
      <c r="AQ36" s="103"/>
      <c r="AR36" s="103"/>
      <c r="AS36" s="103"/>
      <c r="AT36" s="3" t="s">
        <v>230</v>
      </c>
      <c r="AU36" s="2" t="s">
        <v>325</v>
      </c>
    </row>
    <row r="37" spans="3:49" s="2" customFormat="1" ht="11.25" customHeight="1">
      <c r="C37" s="345"/>
      <c r="D37" s="22" t="s">
        <v>112</v>
      </c>
      <c r="E37" s="351" t="s">
        <v>68</v>
      </c>
      <c r="F37" s="351"/>
      <c r="G37" s="351"/>
      <c r="H37" s="351"/>
      <c r="I37" s="351"/>
      <c r="J37" s="351"/>
      <c r="K37" s="312"/>
      <c r="L37" s="13"/>
      <c r="M37" s="13"/>
      <c r="N37" s="280"/>
      <c r="P37" s="276"/>
      <c r="Q37" s="276"/>
      <c r="R37" s="280"/>
      <c r="S37" s="280"/>
      <c r="T37" s="276"/>
      <c r="U37" s="276"/>
      <c r="V37" s="276"/>
      <c r="W37" s="280"/>
      <c r="X37" s="13"/>
      <c r="Y37" s="13"/>
      <c r="Z37" s="255"/>
      <c r="AA37" s="13"/>
      <c r="AB37" s="13"/>
      <c r="AC37" s="13"/>
      <c r="AD37" s="347" t="s">
        <v>62</v>
      </c>
      <c r="AE37" s="347"/>
      <c r="AF37" s="347"/>
      <c r="AG37" s="347"/>
      <c r="AH37" s="347"/>
      <c r="AI37" s="347"/>
      <c r="AJ37" s="11" t="s">
        <v>2</v>
      </c>
      <c r="AL37" s="21"/>
      <c r="AM37" s="103"/>
      <c r="AN37" s="137"/>
      <c r="AP37" s="103"/>
      <c r="AQ37" s="103"/>
      <c r="AR37" s="103"/>
      <c r="AS37" s="103"/>
      <c r="AT37" s="3" t="s">
        <v>512</v>
      </c>
      <c r="AU37" s="2" t="s">
        <v>325</v>
      </c>
    </row>
    <row r="38" spans="3:49" s="2" customFormat="1" ht="9" customHeight="1">
      <c r="C38" s="345"/>
      <c r="D38" s="287"/>
      <c r="E38" s="11"/>
      <c r="F38" s="408" t="s">
        <v>69</v>
      </c>
      <c r="G38" s="408"/>
      <c r="H38" s="408"/>
      <c r="I38" s="408"/>
      <c r="J38" s="408"/>
      <c r="K38" s="408"/>
      <c r="L38" s="408"/>
      <c r="M38" s="408"/>
      <c r="N38" s="408" t="s">
        <v>514</v>
      </c>
      <c r="O38" s="408"/>
      <c r="P38" s="408"/>
      <c r="Q38" s="408"/>
      <c r="R38" s="280"/>
      <c r="S38" s="408" t="s">
        <v>515</v>
      </c>
      <c r="T38" s="408"/>
      <c r="U38" s="408"/>
      <c r="V38" s="408"/>
      <c r="W38" s="280"/>
      <c r="X38" s="13"/>
      <c r="Y38" s="13"/>
      <c r="Z38" s="255"/>
      <c r="AA38" s="13"/>
      <c r="AB38" s="13"/>
      <c r="AC38" s="13"/>
      <c r="AD38" s="358" t="str">
        <f>IF(O39*T39=1,"",ROUNDDOWN(F39*O39*T39,0))</f>
        <v/>
      </c>
      <c r="AE38" s="358"/>
      <c r="AF38" s="358"/>
      <c r="AG38" s="358"/>
      <c r="AH38" s="358"/>
      <c r="AI38" s="358"/>
      <c r="AJ38" s="358"/>
      <c r="AK38" s="383" t="s">
        <v>113</v>
      </c>
      <c r="AL38" s="21"/>
      <c r="AM38" s="103"/>
      <c r="AN38" s="137"/>
      <c r="AT38" s="3" t="s">
        <v>513</v>
      </c>
      <c r="AU38" s="2" t="s">
        <v>325</v>
      </c>
    </row>
    <row r="39" spans="3:49" s="2" customFormat="1" ht="15" customHeight="1">
      <c r="C39" s="345"/>
      <c r="D39" s="287"/>
      <c r="E39" s="11"/>
      <c r="F39" s="460" t="str">
        <f>IF(O39*T39=1,"",MAX(価額Ａ,価額Ｂ,価額Ｃ,価額Ｄ))</f>
        <v/>
      </c>
      <c r="G39" s="460"/>
      <c r="H39" s="460"/>
      <c r="I39" s="460"/>
      <c r="J39" s="460"/>
      <c r="K39" s="117"/>
      <c r="L39" s="117" t="s">
        <v>114</v>
      </c>
      <c r="M39" s="13"/>
      <c r="N39" s="105"/>
      <c r="O39" s="414">
        <f>VLOOKUP(間口距離,補正率表!A41:I48,MATCH(地区区分,補正率表!A40:I40,0))</f>
        <v>1</v>
      </c>
      <c r="P39" s="414"/>
      <c r="Q39" s="114"/>
      <c r="R39" s="11" t="s">
        <v>44</v>
      </c>
      <c r="S39" s="114"/>
      <c r="T39" s="414">
        <f>VLOOKUP(奥行距離/間口距離,補正率表!A52:I59,MATCH(地区区分,補正率表!A51:I51,0))</f>
        <v>1</v>
      </c>
      <c r="U39" s="414"/>
      <c r="V39" s="114"/>
      <c r="W39" s="114"/>
      <c r="X39" s="13" t="s">
        <v>43</v>
      </c>
      <c r="Y39" s="13"/>
      <c r="Z39" s="255"/>
      <c r="AA39" s="13"/>
      <c r="AB39" s="13"/>
      <c r="AC39" s="13"/>
      <c r="AD39" s="358"/>
      <c r="AE39" s="358"/>
      <c r="AF39" s="358"/>
      <c r="AG39" s="358"/>
      <c r="AH39" s="358"/>
      <c r="AI39" s="358"/>
      <c r="AJ39" s="358"/>
      <c r="AK39" s="383"/>
      <c r="AL39" s="21"/>
      <c r="AN39" s="137"/>
      <c r="AT39" s="2" t="s">
        <v>298</v>
      </c>
      <c r="AU39" s="2" t="s">
        <v>554</v>
      </c>
    </row>
    <row r="40" spans="3:49" s="2" customFormat="1" ht="11.25" customHeight="1">
      <c r="C40" s="345"/>
      <c r="D40" s="24" t="s">
        <v>115</v>
      </c>
      <c r="E40" s="351" t="s">
        <v>70</v>
      </c>
      <c r="F40" s="351"/>
      <c r="G40" s="351"/>
      <c r="H40" s="351"/>
      <c r="I40" s="351"/>
      <c r="J40" s="351"/>
      <c r="K40" s="312"/>
      <c r="L40" s="312"/>
      <c r="M40" s="13"/>
      <c r="N40" s="13"/>
      <c r="O40" s="13"/>
      <c r="P40" s="13"/>
      <c r="Q40" s="13"/>
      <c r="R40" s="13"/>
      <c r="S40" s="13"/>
      <c r="T40" s="13"/>
      <c r="U40" s="13"/>
      <c r="V40" s="13"/>
      <c r="W40" s="13"/>
      <c r="X40" s="13"/>
      <c r="Y40" s="13"/>
      <c r="Z40" s="255"/>
      <c r="AA40" s="13"/>
      <c r="AB40" s="13"/>
      <c r="AC40" s="13"/>
      <c r="AD40" s="347" t="s">
        <v>62</v>
      </c>
      <c r="AE40" s="347"/>
      <c r="AF40" s="347"/>
      <c r="AG40" s="347"/>
      <c r="AH40" s="347"/>
      <c r="AI40" s="347"/>
      <c r="AJ40" s="11" t="s">
        <v>2</v>
      </c>
      <c r="AL40" s="21"/>
      <c r="AN40" s="137"/>
      <c r="AT40" s="3" t="s">
        <v>236</v>
      </c>
      <c r="AU40" s="2" t="s">
        <v>554</v>
      </c>
    </row>
    <row r="41" spans="3:49" s="2" customFormat="1" ht="9" customHeight="1">
      <c r="C41" s="345"/>
      <c r="D41" s="287"/>
      <c r="E41" s="19"/>
      <c r="F41" s="408" t="s">
        <v>69</v>
      </c>
      <c r="G41" s="408"/>
      <c r="H41" s="408"/>
      <c r="I41" s="408"/>
      <c r="J41" s="408"/>
      <c r="K41" s="408"/>
      <c r="L41" s="408"/>
      <c r="M41" s="408"/>
      <c r="N41" s="347" t="s">
        <v>198</v>
      </c>
      <c r="O41" s="347"/>
      <c r="P41" s="347"/>
      <c r="Q41" s="347"/>
      <c r="R41" s="347"/>
      <c r="S41" s="13"/>
      <c r="T41" s="13"/>
      <c r="U41" s="13"/>
      <c r="V41" s="13"/>
      <c r="W41" s="13"/>
      <c r="X41" s="13"/>
      <c r="Y41" s="402" t="s">
        <v>468</v>
      </c>
      <c r="Z41" s="403"/>
      <c r="AA41" s="404"/>
      <c r="AB41" s="13"/>
      <c r="AC41" s="13"/>
      <c r="AD41" s="358">
        <f>IF(F42="","",ROUNDDOWN(F42*O42,0))</f>
        <v>325061</v>
      </c>
      <c r="AE41" s="358"/>
      <c r="AF41" s="358"/>
      <c r="AG41" s="358"/>
      <c r="AH41" s="358"/>
      <c r="AI41" s="358"/>
      <c r="AJ41" s="358"/>
      <c r="AK41" s="347" t="s">
        <v>116</v>
      </c>
      <c r="AL41" s="21"/>
      <c r="AN41" s="137"/>
      <c r="AT41" s="3" t="s">
        <v>237</v>
      </c>
      <c r="AU41" s="2" t="s">
        <v>554</v>
      </c>
    </row>
    <row r="42" spans="3:49" s="2" customFormat="1" ht="12.75" customHeight="1">
      <c r="C42" s="345"/>
      <c r="D42" s="287"/>
      <c r="E42" s="19"/>
      <c r="F42" s="458">
        <f>IF(かげ地割合="","",MAX(価額Ａ,価額Ｂ,価額Ｃ,価額Ｄ))</f>
        <v>328345</v>
      </c>
      <c r="G42" s="458"/>
      <c r="H42" s="458"/>
      <c r="I42" s="458"/>
      <c r="J42" s="458"/>
      <c r="K42" s="458"/>
      <c r="L42" s="347" t="s">
        <v>100</v>
      </c>
      <c r="M42" s="347"/>
      <c r="N42" s="66"/>
      <c r="O42" s="450">
        <f>X51</f>
        <v>0.99</v>
      </c>
      <c r="P42" s="450"/>
      <c r="Q42" s="66"/>
      <c r="R42" s="66"/>
      <c r="S42" s="13"/>
      <c r="T42" s="13"/>
      <c r="U42" s="13"/>
      <c r="V42" s="13"/>
      <c r="W42" s="13"/>
      <c r="X42" s="13"/>
      <c r="Y42" s="405" t="str">
        <f>IF(G45="","",VLOOKUP(H19,補正率表!A63:H72,MATCH(地区区分,補正率表!A62:H62,0)))</f>
        <v>C</v>
      </c>
      <c r="Z42" s="406"/>
      <c r="AA42" s="407"/>
      <c r="AB42" s="13"/>
      <c r="AC42" s="13"/>
      <c r="AD42" s="358"/>
      <c r="AE42" s="358"/>
      <c r="AF42" s="358"/>
      <c r="AG42" s="358"/>
      <c r="AH42" s="358"/>
      <c r="AI42" s="358"/>
      <c r="AJ42" s="358"/>
      <c r="AK42" s="347"/>
      <c r="AL42" s="21"/>
      <c r="AN42" s="137"/>
      <c r="AT42" s="3" t="s">
        <v>238</v>
      </c>
      <c r="AU42" s="2" t="s">
        <v>554</v>
      </c>
      <c r="AV42" s="213"/>
      <c r="AW42" s="213"/>
    </row>
    <row r="43" spans="3:49" s="2" customFormat="1" ht="11.1" customHeight="1">
      <c r="C43" s="345"/>
      <c r="D43" s="287"/>
      <c r="E43" s="19"/>
      <c r="F43" s="13" t="s">
        <v>199</v>
      </c>
      <c r="G43" s="13"/>
      <c r="H43" s="13"/>
      <c r="I43" s="13"/>
      <c r="J43" s="13"/>
      <c r="K43" s="13"/>
      <c r="L43" s="13"/>
      <c r="M43" s="13"/>
      <c r="N43" s="13"/>
      <c r="O43" s="13"/>
      <c r="P43" s="13"/>
      <c r="Q43" s="13"/>
      <c r="R43" s="13"/>
      <c r="S43" s="13"/>
      <c r="T43" s="13"/>
      <c r="U43" s="13"/>
      <c r="V43" s="13"/>
      <c r="W43" s="13"/>
      <c r="X43" s="13"/>
      <c r="Y43" s="13"/>
      <c r="Z43" s="255"/>
      <c r="AA43" s="13"/>
      <c r="AB43" s="13"/>
      <c r="AC43" s="13"/>
      <c r="AD43" s="358"/>
      <c r="AE43" s="358"/>
      <c r="AF43" s="358"/>
      <c r="AG43" s="358"/>
      <c r="AH43" s="358"/>
      <c r="AI43" s="358"/>
      <c r="AJ43" s="358"/>
      <c r="AK43" s="347"/>
      <c r="AL43" s="21"/>
      <c r="AN43" s="137"/>
      <c r="AT43" s="3" t="s">
        <v>254</v>
      </c>
      <c r="AU43" s="2" t="s">
        <v>554</v>
      </c>
      <c r="AV43" s="213"/>
      <c r="AW43" s="213"/>
    </row>
    <row r="44" spans="3:49" s="2" customFormat="1" ht="9" customHeight="1">
      <c r="C44" s="345"/>
      <c r="D44" s="287"/>
      <c r="E44" s="19"/>
      <c r="F44" s="408" t="s">
        <v>71</v>
      </c>
      <c r="G44" s="408"/>
      <c r="H44" s="408"/>
      <c r="I44" s="408"/>
      <c r="J44" s="408"/>
      <c r="K44" s="408"/>
      <c r="L44" s="13"/>
      <c r="M44" s="408" t="s">
        <v>72</v>
      </c>
      <c r="N44" s="408"/>
      <c r="O44" s="408"/>
      <c r="P44" s="408"/>
      <c r="Q44" s="408"/>
      <c r="R44" s="408"/>
      <c r="S44" s="408" t="s">
        <v>73</v>
      </c>
      <c r="T44" s="408"/>
      <c r="U44" s="408"/>
      <c r="V44" s="408"/>
      <c r="W44" s="408"/>
      <c r="X44" s="11"/>
      <c r="Y44" s="13"/>
      <c r="Z44" s="255"/>
      <c r="AA44" s="13"/>
      <c r="AB44" s="13"/>
      <c r="AC44" s="13"/>
      <c r="AD44" s="358"/>
      <c r="AE44" s="358"/>
      <c r="AF44" s="358"/>
      <c r="AG44" s="358"/>
      <c r="AH44" s="358"/>
      <c r="AI44" s="358"/>
      <c r="AJ44" s="358"/>
      <c r="AK44" s="347"/>
      <c r="AL44" s="21"/>
      <c r="AN44" s="137"/>
      <c r="AT44" s="3" t="s">
        <v>239</v>
      </c>
      <c r="AU44" s="2" t="s">
        <v>554</v>
      </c>
    </row>
    <row r="45" spans="3:49" s="2" customFormat="1" ht="12.75" customHeight="1">
      <c r="C45" s="345"/>
      <c r="D45" s="287"/>
      <c r="E45" s="19"/>
      <c r="F45" s="16"/>
      <c r="G45" s="425">
        <v>38</v>
      </c>
      <c r="H45" s="425"/>
      <c r="I45" s="425"/>
      <c r="J45" s="425"/>
      <c r="K45" s="408" t="s">
        <v>117</v>
      </c>
      <c r="L45" s="408"/>
      <c r="M45" s="13"/>
      <c r="N45" s="411">
        <v>38</v>
      </c>
      <c r="O45" s="411"/>
      <c r="P45" s="411"/>
      <c r="Q45" s="408" t="s">
        <v>118</v>
      </c>
      <c r="R45" s="408"/>
      <c r="S45" s="443">
        <f>ROUNDDOWN(G45*N45,2)</f>
        <v>1444</v>
      </c>
      <c r="T45" s="443"/>
      <c r="U45" s="443"/>
      <c r="V45" s="443"/>
      <c r="W45" s="443"/>
      <c r="X45" s="107" t="s">
        <v>119</v>
      </c>
      <c r="Y45" s="13"/>
      <c r="Z45" s="255"/>
      <c r="AA45" s="13"/>
      <c r="AB45" s="13"/>
      <c r="AC45" s="13"/>
      <c r="AD45" s="358"/>
      <c r="AE45" s="358"/>
      <c r="AF45" s="358"/>
      <c r="AG45" s="358"/>
      <c r="AH45" s="358"/>
      <c r="AI45" s="358"/>
      <c r="AJ45" s="358"/>
      <c r="AK45" s="347"/>
      <c r="AL45" s="21"/>
      <c r="AN45" s="137"/>
      <c r="AT45" s="3" t="s">
        <v>240</v>
      </c>
      <c r="AU45" s="2" t="s">
        <v>554</v>
      </c>
    </row>
    <row r="46" spans="3:49" s="2" customFormat="1" ht="9" customHeight="1">
      <c r="C46" s="345"/>
      <c r="D46" s="287"/>
      <c r="E46" s="19"/>
      <c r="F46" s="408" t="s">
        <v>73</v>
      </c>
      <c r="G46" s="408"/>
      <c r="H46" s="408"/>
      <c r="I46" s="408"/>
      <c r="J46" s="408"/>
      <c r="K46" s="16"/>
      <c r="L46" s="408" t="s">
        <v>74</v>
      </c>
      <c r="M46" s="408"/>
      <c r="N46" s="408"/>
      <c r="O46" s="408"/>
      <c r="P46" s="408"/>
      <c r="Q46" s="16"/>
      <c r="R46" s="408" t="s">
        <v>73</v>
      </c>
      <c r="S46" s="408"/>
      <c r="T46" s="408"/>
      <c r="U46" s="408"/>
      <c r="V46" s="408"/>
      <c r="W46" s="13"/>
      <c r="X46" s="408" t="s">
        <v>75</v>
      </c>
      <c r="Y46" s="408"/>
      <c r="Z46" s="408"/>
      <c r="AA46" s="408"/>
      <c r="AB46" s="13"/>
      <c r="AC46" s="13"/>
      <c r="AD46" s="358"/>
      <c r="AE46" s="358"/>
      <c r="AF46" s="358"/>
      <c r="AG46" s="358"/>
      <c r="AH46" s="358"/>
      <c r="AI46" s="358"/>
      <c r="AJ46" s="358"/>
      <c r="AK46" s="347"/>
      <c r="AL46" s="21"/>
      <c r="AN46" s="137"/>
      <c r="AT46" s="3" t="s">
        <v>235</v>
      </c>
      <c r="AU46" s="2" t="s">
        <v>554</v>
      </c>
    </row>
    <row r="47" spans="3:49" s="2" customFormat="1" ht="12.75" customHeight="1">
      <c r="C47" s="345"/>
      <c r="D47" s="287"/>
      <c r="E47" s="19"/>
      <c r="F47" s="16" t="s">
        <v>120</v>
      </c>
      <c r="G47" s="443">
        <f>S45</f>
        <v>1444</v>
      </c>
      <c r="H47" s="443"/>
      <c r="I47" s="443"/>
      <c r="J47" s="443"/>
      <c r="K47" s="108" t="s">
        <v>121</v>
      </c>
      <c r="L47" s="443">
        <f>IF(S45=0,"",H19)</f>
        <v>1125</v>
      </c>
      <c r="M47" s="443"/>
      <c r="N47" s="443"/>
      <c r="O47" s="443"/>
      <c r="P47" s="108" t="s">
        <v>122</v>
      </c>
      <c r="Q47" s="108" t="s">
        <v>123</v>
      </c>
      <c r="R47" s="443">
        <f>S45</f>
        <v>1444</v>
      </c>
      <c r="S47" s="443"/>
      <c r="T47" s="443"/>
      <c r="U47" s="443"/>
      <c r="V47" s="108" t="s">
        <v>124</v>
      </c>
      <c r="W47" s="106" t="s">
        <v>125</v>
      </c>
      <c r="X47" s="401">
        <f>IF(S45=0,"",ROUNDDOWN((G47-L47)/R47*100,2))</f>
        <v>22.09</v>
      </c>
      <c r="Y47" s="401"/>
      <c r="Z47" s="401"/>
      <c r="AA47" s="401"/>
      <c r="AB47" s="408" t="s">
        <v>126</v>
      </c>
      <c r="AC47" s="408"/>
      <c r="AD47" s="358"/>
      <c r="AE47" s="358"/>
      <c r="AF47" s="358"/>
      <c r="AG47" s="358"/>
      <c r="AH47" s="358"/>
      <c r="AI47" s="358"/>
      <c r="AJ47" s="358"/>
      <c r="AK47" s="347"/>
      <c r="AL47" s="21"/>
      <c r="AN47" s="137"/>
    </row>
    <row r="48" spans="3:49" s="2" customFormat="1" ht="9.75" customHeight="1">
      <c r="C48" s="345"/>
      <c r="D48" s="287"/>
      <c r="E48" s="19"/>
      <c r="F48" s="58"/>
      <c r="G48" s="58"/>
      <c r="H48" s="59"/>
      <c r="I48" s="58"/>
      <c r="J48" s="58"/>
      <c r="K48" s="58"/>
      <c r="L48" s="58"/>
      <c r="M48" s="58"/>
      <c r="N48" s="58"/>
      <c r="O48" s="58"/>
      <c r="P48" s="58"/>
      <c r="Q48" s="449" t="s">
        <v>310</v>
      </c>
      <c r="R48" s="449"/>
      <c r="S48" s="449"/>
      <c r="T48" s="449"/>
      <c r="U48" s="60"/>
      <c r="V48" s="471" t="s">
        <v>127</v>
      </c>
      <c r="X48" s="400" t="s">
        <v>76</v>
      </c>
      <c r="Y48" s="400"/>
      <c r="Z48" s="400"/>
      <c r="AA48" s="400"/>
      <c r="AB48" s="314"/>
      <c r="AC48" s="435" t="s">
        <v>128</v>
      </c>
      <c r="AD48" s="358"/>
      <c r="AE48" s="358"/>
      <c r="AF48" s="358"/>
      <c r="AG48" s="358"/>
      <c r="AH48" s="358"/>
      <c r="AI48" s="358"/>
      <c r="AJ48" s="358"/>
      <c r="AK48" s="347"/>
      <c r="AL48" s="21"/>
      <c r="AN48" s="137"/>
      <c r="AT48" s="2" t="s">
        <v>583</v>
      </c>
      <c r="AU48" s="2" t="s">
        <v>587</v>
      </c>
    </row>
    <row r="49" spans="3:50" s="2" customFormat="1" ht="8.1" customHeight="1">
      <c r="C49" s="345"/>
      <c r="D49" s="287"/>
      <c r="E49" s="16"/>
      <c r="F49" s="455" t="s">
        <v>77</v>
      </c>
      <c r="G49" s="455"/>
      <c r="H49" s="455"/>
      <c r="I49" s="455"/>
      <c r="J49" s="455"/>
      <c r="K49" s="455"/>
      <c r="L49" s="455"/>
      <c r="M49" s="455"/>
      <c r="N49" s="455"/>
      <c r="O49" s="455"/>
      <c r="P49" s="455"/>
      <c r="Q49" s="449"/>
      <c r="R49" s="449"/>
      <c r="S49" s="449"/>
      <c r="T49" s="449"/>
      <c r="U49" s="60"/>
      <c r="V49" s="471"/>
      <c r="W49" s="430" t="s">
        <v>129</v>
      </c>
      <c r="X49" s="469" t="s">
        <v>78</v>
      </c>
      <c r="Y49" s="469"/>
      <c r="Z49" s="469"/>
      <c r="AA49" s="469"/>
      <c r="AB49" s="431" t="s">
        <v>130</v>
      </c>
      <c r="AC49" s="435"/>
      <c r="AD49" s="358"/>
      <c r="AE49" s="358"/>
      <c r="AF49" s="358"/>
      <c r="AG49" s="358"/>
      <c r="AH49" s="358"/>
      <c r="AI49" s="358"/>
      <c r="AJ49" s="358"/>
      <c r="AK49" s="347"/>
      <c r="AL49" s="21"/>
      <c r="AN49" s="137"/>
      <c r="AT49" s="2" t="s">
        <v>584</v>
      </c>
      <c r="AU49" s="2" t="s">
        <v>588</v>
      </c>
    </row>
    <row r="50" spans="3:50" s="2" customFormat="1" ht="12.75" customHeight="1">
      <c r="C50" s="345"/>
      <c r="D50" s="287"/>
      <c r="E50" s="19"/>
      <c r="F50" s="63"/>
      <c r="G50" s="447">
        <f>IF(かげ地割合="","",IF(地区区分="普通住宅地区",VLOOKUP(かげ地割合,補正率表!A77:H89,MATCH(不整形地区分,補正率表!A76:E76,0)+3),VLOOKUP(かげ地割合,補正率表!A77:E89,MATCH(不整形地区分,補正率表!A76:E76,0))))</f>
        <v>0.99</v>
      </c>
      <c r="H50" s="447"/>
      <c r="I50" s="447"/>
      <c r="J50" s="65"/>
      <c r="K50" s="109" t="s">
        <v>131</v>
      </c>
      <c r="L50" s="59"/>
      <c r="M50" s="470">
        <f>O39</f>
        <v>1</v>
      </c>
      <c r="N50" s="470"/>
      <c r="O50" s="470"/>
      <c r="P50" s="110" t="s">
        <v>132</v>
      </c>
      <c r="Q50" s="63"/>
      <c r="R50" s="450">
        <f>IF(かげ地割合="","",ROUNDDOWN(G50*M50,2))</f>
        <v>0.99</v>
      </c>
      <c r="S50" s="450"/>
      <c r="T50" s="61" t="s">
        <v>133</v>
      </c>
      <c r="U50" s="448" t="s">
        <v>162</v>
      </c>
      <c r="V50" s="471"/>
      <c r="W50" s="430"/>
      <c r="X50" s="429" t="s">
        <v>79</v>
      </c>
      <c r="Y50" s="429"/>
      <c r="Z50" s="429"/>
      <c r="AA50" s="429"/>
      <c r="AB50" s="431"/>
      <c r="AC50" s="435"/>
      <c r="AD50" s="358"/>
      <c r="AE50" s="358"/>
      <c r="AF50" s="358"/>
      <c r="AG50" s="358"/>
      <c r="AH50" s="358"/>
      <c r="AI50" s="358"/>
      <c r="AJ50" s="358"/>
      <c r="AK50" s="347"/>
      <c r="AL50" s="21"/>
      <c r="AM50" s="137"/>
      <c r="AT50" s="2" t="s">
        <v>585</v>
      </c>
      <c r="AU50" s="2" t="s">
        <v>587</v>
      </c>
    </row>
    <row r="51" spans="3:50" s="2" customFormat="1" ht="10.5" customHeight="1">
      <c r="C51" s="345"/>
      <c r="D51" s="287"/>
      <c r="E51" s="19"/>
      <c r="F51" s="474" t="s">
        <v>80</v>
      </c>
      <c r="G51" s="474"/>
      <c r="H51" s="474"/>
      <c r="I51" s="474"/>
      <c r="J51" s="474"/>
      <c r="K51" s="62"/>
      <c r="L51" s="457" t="s">
        <v>319</v>
      </c>
      <c r="M51" s="457"/>
      <c r="N51" s="457"/>
      <c r="O51" s="457"/>
      <c r="P51" s="457"/>
      <c r="Q51" s="58"/>
      <c r="R51" s="60"/>
      <c r="S51" s="60"/>
      <c r="T51" s="60"/>
      <c r="U51" s="448"/>
      <c r="V51" s="64"/>
      <c r="W51" s="60"/>
      <c r="X51" s="454">
        <f>IF(AND(R50&gt;R52,R52&gt;0.6),R52,IF(R50&gt;0.6,R50,0.6))</f>
        <v>0.99</v>
      </c>
      <c r="Y51" s="454"/>
      <c r="Z51" s="454"/>
      <c r="AA51" s="454"/>
      <c r="AB51" s="60"/>
      <c r="AC51" s="13"/>
      <c r="AD51" s="358"/>
      <c r="AE51" s="358"/>
      <c r="AF51" s="358"/>
      <c r="AG51" s="358"/>
      <c r="AH51" s="358"/>
      <c r="AI51" s="358"/>
      <c r="AJ51" s="358"/>
      <c r="AK51" s="347"/>
      <c r="AL51" s="21"/>
      <c r="AM51" s="137"/>
      <c r="AT51" s="2" t="s">
        <v>586</v>
      </c>
      <c r="AU51" s="2" t="s">
        <v>587</v>
      </c>
    </row>
    <row r="52" spans="3:50" s="2" customFormat="1" ht="12.75" customHeight="1">
      <c r="C52" s="345"/>
      <c r="D52" s="287"/>
      <c r="E52" s="19"/>
      <c r="F52" s="63"/>
      <c r="G52" s="447">
        <f>T39</f>
        <v>1</v>
      </c>
      <c r="H52" s="456"/>
      <c r="I52" s="456"/>
      <c r="J52" s="65"/>
      <c r="K52" s="109" t="s">
        <v>134</v>
      </c>
      <c r="L52" s="59"/>
      <c r="M52" s="470">
        <f>O39</f>
        <v>1</v>
      </c>
      <c r="N52" s="470"/>
      <c r="O52" s="470"/>
      <c r="P52" s="110" t="s">
        <v>135</v>
      </c>
      <c r="Q52" s="63"/>
      <c r="R52" s="450">
        <f>IF(X47="","",ROUNDDOWN(G52*M52,2))</f>
        <v>1</v>
      </c>
      <c r="S52" s="450"/>
      <c r="T52" s="61" t="s">
        <v>136</v>
      </c>
      <c r="U52" s="448"/>
      <c r="V52" s="64"/>
      <c r="W52" s="58"/>
      <c r="X52" s="60"/>
      <c r="Y52" s="60"/>
      <c r="Z52" s="60"/>
      <c r="AA52" s="60"/>
      <c r="AB52" s="60"/>
      <c r="AC52" s="13"/>
      <c r="AD52" s="358"/>
      <c r="AE52" s="358"/>
      <c r="AF52" s="358"/>
      <c r="AG52" s="358"/>
      <c r="AH52" s="358"/>
      <c r="AI52" s="358"/>
      <c r="AJ52" s="358"/>
      <c r="AK52" s="347"/>
      <c r="AL52" s="21"/>
      <c r="AN52" s="137"/>
    </row>
    <row r="53" spans="3:50" s="2" customFormat="1" ht="3" customHeight="1">
      <c r="C53" s="345"/>
      <c r="D53" s="287"/>
      <c r="E53" s="19"/>
      <c r="F53" s="116"/>
      <c r="G53" s="112"/>
      <c r="H53" s="112"/>
      <c r="I53" s="112"/>
      <c r="J53" s="112"/>
      <c r="K53" s="25"/>
      <c r="L53" s="16"/>
      <c r="M53" s="11"/>
      <c r="N53" s="13"/>
      <c r="O53" s="13"/>
      <c r="P53" s="11"/>
      <c r="Q53" s="118"/>
      <c r="R53" s="13"/>
      <c r="S53" s="13"/>
      <c r="T53" s="11"/>
      <c r="U53" s="119"/>
      <c r="V53" s="120"/>
      <c r="W53" s="16"/>
      <c r="X53" s="13"/>
      <c r="Y53" s="13"/>
      <c r="Z53" s="255"/>
      <c r="AA53" s="13"/>
      <c r="AB53" s="13"/>
      <c r="AC53" s="13"/>
      <c r="AD53" s="121"/>
      <c r="AE53" s="121"/>
      <c r="AF53" s="121"/>
      <c r="AG53" s="121"/>
      <c r="AH53" s="121"/>
      <c r="AI53" s="121"/>
      <c r="AJ53" s="121"/>
      <c r="AK53" s="11"/>
      <c r="AL53" s="21"/>
      <c r="AN53" s="137"/>
    </row>
    <row r="54" spans="3:50" s="2" customFormat="1" ht="11.25" customHeight="1">
      <c r="C54" s="345"/>
      <c r="D54" s="173">
        <v>6</v>
      </c>
      <c r="E54" s="352" t="s">
        <v>330</v>
      </c>
      <c r="F54" s="352"/>
      <c r="G54" s="352"/>
      <c r="H54" s="352"/>
      <c r="I54" s="352"/>
      <c r="J54" s="352"/>
      <c r="K54" s="352"/>
      <c r="L54" s="313"/>
      <c r="M54" s="175"/>
      <c r="N54" s="212"/>
      <c r="O54" s="13"/>
      <c r="P54" s="208"/>
      <c r="Q54" s="118"/>
      <c r="R54" s="13"/>
      <c r="S54" s="13"/>
      <c r="T54" s="172"/>
      <c r="U54" s="119"/>
      <c r="V54" s="120"/>
      <c r="W54" s="16"/>
      <c r="X54" s="475" t="str">
        <f>IF(AND(AO55=FALSE,AO56=FALSE),"",IF(AO55=TRUE,"〔三大都市圏〕","〔三大都市圏以外〕"))</f>
        <v>〔三大都市圏〕</v>
      </c>
      <c r="Y54" s="475"/>
      <c r="Z54" s="475"/>
      <c r="AA54" s="475"/>
      <c r="AB54" s="475"/>
      <c r="AC54" s="177"/>
      <c r="AD54" s="347" t="s">
        <v>62</v>
      </c>
      <c r="AE54" s="347"/>
      <c r="AF54" s="347"/>
      <c r="AG54" s="347"/>
      <c r="AH54" s="347"/>
      <c r="AI54" s="347"/>
      <c r="AJ54" s="172" t="s">
        <v>2</v>
      </c>
      <c r="AL54" s="21"/>
      <c r="AM54" s="421" t="s">
        <v>337</v>
      </c>
      <c r="AN54" s="422"/>
      <c r="AQ54" s="417" t="s">
        <v>338</v>
      </c>
      <c r="AR54" s="417"/>
      <c r="AS54" s="417"/>
      <c r="AT54" s="417"/>
      <c r="AU54" s="417"/>
      <c r="AV54" s="417"/>
      <c r="AW54" s="417"/>
      <c r="AX54" s="417"/>
    </row>
    <row r="55" spans="3:50" s="2" customFormat="1" ht="9" customHeight="1">
      <c r="C55" s="345"/>
      <c r="D55" s="287"/>
      <c r="E55" s="173"/>
      <c r="F55" s="426" t="s">
        <v>332</v>
      </c>
      <c r="G55" s="426"/>
      <c r="H55" s="426"/>
      <c r="I55" s="426"/>
      <c r="J55" s="426"/>
      <c r="K55" s="426"/>
      <c r="L55" s="426"/>
      <c r="M55" s="426"/>
      <c r="N55" s="427" t="s">
        <v>333</v>
      </c>
      <c r="O55" s="427"/>
      <c r="P55" s="427"/>
      <c r="Q55" s="427"/>
      <c r="R55" s="13"/>
      <c r="S55" s="210"/>
      <c r="T55" s="210"/>
      <c r="U55" s="210"/>
      <c r="V55" s="210"/>
      <c r="W55" s="210"/>
      <c r="AC55" s="177"/>
      <c r="AD55" s="428">
        <f>IF(F56="","",ROUNDDOWN(F56*N56,0))</f>
        <v>250296</v>
      </c>
      <c r="AE55" s="428"/>
      <c r="AF55" s="428"/>
      <c r="AG55" s="428"/>
      <c r="AH55" s="428"/>
      <c r="AI55" s="428"/>
      <c r="AJ55" s="428"/>
      <c r="AK55" s="347" t="s">
        <v>331</v>
      </c>
      <c r="AL55" s="21"/>
      <c r="AM55" s="241" t="s">
        <v>339</v>
      </c>
      <c r="AN55" s="184"/>
      <c r="AO55" s="178" t="b">
        <v>1</v>
      </c>
      <c r="AQ55" s="179"/>
      <c r="AR55" s="418" t="s">
        <v>340</v>
      </c>
      <c r="AS55" s="418"/>
      <c r="AT55" s="418"/>
      <c r="AU55" s="418"/>
      <c r="AV55" s="418"/>
      <c r="AW55" s="418"/>
      <c r="AX55" s="419"/>
    </row>
    <row r="56" spans="3:50" s="2" customFormat="1" ht="13.5" customHeight="1">
      <c r="C56" s="345"/>
      <c r="D56" s="287"/>
      <c r="E56" s="173"/>
      <c r="F56" s="350">
        <f>IF(AND(AO55=FALSE,AO56=FALSE),"",IF(AND(価額Ｆ="",価額Ｅ=""),MAX(価額Ａ,価額Ｂ,価額Ｃ,価額Ｄ),MIN(価額Ｅ,価額Ｆ)))</f>
        <v>325061</v>
      </c>
      <c r="G56" s="350"/>
      <c r="H56" s="350"/>
      <c r="I56" s="350"/>
      <c r="J56" s="350"/>
      <c r="K56" s="350"/>
      <c r="L56" s="427" t="s">
        <v>358</v>
      </c>
      <c r="M56" s="427"/>
      <c r="N56" s="478">
        <f>IF(AND(AO55=FALSE,AO56=FALSE),"",ROUNDDOWN((G60*L60+O60)/Q60*0.8,2))</f>
        <v>0.77</v>
      </c>
      <c r="O56" s="478"/>
      <c r="P56" s="213"/>
      <c r="Q56" s="213"/>
      <c r="R56" s="213"/>
      <c r="U56" s="206"/>
      <c r="V56" s="224"/>
      <c r="W56" s="224"/>
      <c r="X56" s="206"/>
      <c r="AB56" s="211"/>
      <c r="AC56" s="13"/>
      <c r="AD56" s="428"/>
      <c r="AE56" s="428"/>
      <c r="AF56" s="428"/>
      <c r="AG56" s="428"/>
      <c r="AH56" s="428"/>
      <c r="AI56" s="428"/>
      <c r="AJ56" s="428"/>
      <c r="AK56" s="347"/>
      <c r="AL56" s="21"/>
      <c r="AM56" s="320" t="s">
        <v>341</v>
      </c>
      <c r="AN56" s="184"/>
      <c r="AO56" s="178" t="b">
        <v>0</v>
      </c>
      <c r="AQ56" s="180"/>
      <c r="AR56" s="384" t="s">
        <v>342</v>
      </c>
      <c r="AS56" s="384"/>
      <c r="AT56" s="384"/>
      <c r="AU56" s="384"/>
      <c r="AV56" s="384"/>
      <c r="AW56" s="384"/>
      <c r="AX56" s="385"/>
    </row>
    <row r="57" spans="3:50" s="2" customFormat="1" ht="2.25" customHeight="1">
      <c r="C57" s="345"/>
      <c r="D57" s="287"/>
      <c r="E57" s="217"/>
      <c r="F57" s="214"/>
      <c r="G57" s="214"/>
      <c r="H57" s="214"/>
      <c r="I57" s="214"/>
      <c r="J57" s="214"/>
      <c r="K57" s="214"/>
      <c r="L57" s="60"/>
      <c r="M57" s="60"/>
      <c r="N57" s="215"/>
      <c r="O57" s="215"/>
      <c r="P57" s="218"/>
      <c r="Q57" s="218"/>
      <c r="R57" s="218"/>
      <c r="S57" s="219"/>
      <c r="T57" s="219"/>
      <c r="U57" s="209"/>
      <c r="V57" s="220"/>
      <c r="W57" s="220"/>
      <c r="X57" s="209"/>
      <c r="Y57" s="221"/>
      <c r="Z57" s="221"/>
      <c r="AA57" s="222"/>
      <c r="AB57" s="222"/>
      <c r="AC57" s="60"/>
      <c r="AD57" s="428"/>
      <c r="AE57" s="428"/>
      <c r="AF57" s="428"/>
      <c r="AG57" s="428"/>
      <c r="AH57" s="428"/>
      <c r="AI57" s="428"/>
      <c r="AJ57" s="428"/>
      <c r="AK57" s="347"/>
      <c r="AL57" s="21"/>
      <c r="AM57" s="226"/>
      <c r="AN57" s="227"/>
      <c r="AO57" s="178"/>
      <c r="AQ57" s="180"/>
      <c r="AR57" s="384" t="s">
        <v>343</v>
      </c>
      <c r="AS57" s="384"/>
      <c r="AT57" s="384"/>
      <c r="AU57" s="384"/>
      <c r="AV57" s="384"/>
      <c r="AW57" s="384"/>
      <c r="AX57" s="385"/>
    </row>
    <row r="58" spans="3:50" s="2" customFormat="1" ht="9.75" customHeight="1">
      <c r="C58" s="345"/>
      <c r="D58" s="287"/>
      <c r="E58" s="217"/>
      <c r="F58" s="466" t="s">
        <v>334</v>
      </c>
      <c r="G58" s="466"/>
      <c r="H58" s="466"/>
      <c r="I58" s="466"/>
      <c r="J58" s="466"/>
      <c r="K58" s="466"/>
      <c r="L58" s="60"/>
      <c r="M58" s="60"/>
      <c r="N58" s="215"/>
      <c r="O58" s="215"/>
      <c r="P58" s="218"/>
      <c r="Q58" s="218"/>
      <c r="R58" s="218"/>
      <c r="S58" s="219"/>
      <c r="T58" s="219"/>
      <c r="U58" s="209"/>
      <c r="W58" s="229"/>
      <c r="Z58" s="292"/>
      <c r="AA58" s="292"/>
      <c r="AB58" s="292"/>
      <c r="AC58" s="60"/>
      <c r="AD58" s="428"/>
      <c r="AE58" s="428"/>
      <c r="AF58" s="428"/>
      <c r="AG58" s="428"/>
      <c r="AH58" s="428"/>
      <c r="AI58" s="428"/>
      <c r="AJ58" s="428"/>
      <c r="AK58" s="347"/>
      <c r="AL58" s="21"/>
      <c r="AM58" s="226"/>
      <c r="AN58" s="227"/>
      <c r="AO58" s="178"/>
      <c r="AQ58" s="180"/>
      <c r="AR58" s="384"/>
      <c r="AS58" s="384"/>
      <c r="AT58" s="384"/>
      <c r="AU58" s="384"/>
      <c r="AV58" s="384"/>
      <c r="AW58" s="384"/>
      <c r="AX58" s="385"/>
    </row>
    <row r="59" spans="3:50" s="2" customFormat="1" ht="9" customHeight="1">
      <c r="C59" s="345"/>
      <c r="D59" s="287"/>
      <c r="E59" s="217"/>
      <c r="F59" s="432" t="s">
        <v>363</v>
      </c>
      <c r="G59" s="432"/>
      <c r="H59" s="432"/>
      <c r="I59" s="432"/>
      <c r="J59" s="207"/>
      <c r="L59" s="432" t="s">
        <v>364</v>
      </c>
      <c r="M59" s="432"/>
      <c r="O59" s="225" t="s">
        <v>365</v>
      </c>
      <c r="Q59" s="432" t="s">
        <v>363</v>
      </c>
      <c r="R59" s="432"/>
      <c r="S59" s="432"/>
      <c r="T59" s="219"/>
      <c r="U59" s="209"/>
      <c r="V59" s="229"/>
      <c r="W59" s="468" t="s">
        <v>517</v>
      </c>
      <c r="X59" s="468"/>
      <c r="Y59" s="468"/>
      <c r="Z59" s="468"/>
      <c r="AA59" s="468"/>
      <c r="AB59" s="468"/>
      <c r="AC59" s="468"/>
      <c r="AD59" s="428"/>
      <c r="AE59" s="428"/>
      <c r="AF59" s="428"/>
      <c r="AG59" s="428"/>
      <c r="AH59" s="428"/>
      <c r="AI59" s="428"/>
      <c r="AJ59" s="428"/>
      <c r="AK59" s="347"/>
      <c r="AL59" s="21"/>
      <c r="AM59" s="226"/>
      <c r="AN59" s="227"/>
      <c r="AO59" s="178"/>
      <c r="AQ59" s="180"/>
      <c r="AR59" s="386" t="s">
        <v>344</v>
      </c>
      <c r="AS59" s="386"/>
      <c r="AT59" s="386"/>
      <c r="AU59" s="386"/>
      <c r="AV59" s="386"/>
      <c r="AW59" s="386"/>
      <c r="AX59" s="387"/>
    </row>
    <row r="60" spans="3:50" s="2" customFormat="1" ht="12.75" customHeight="1">
      <c r="C60" s="345"/>
      <c r="D60" s="287"/>
      <c r="E60" s="173"/>
      <c r="F60" s="228" t="s">
        <v>367</v>
      </c>
      <c r="G60" s="433">
        <f>IF(AND(AO55=FALSE,AO56=FALSE),"",H19)</f>
        <v>1125</v>
      </c>
      <c r="H60" s="433"/>
      <c r="I60" s="433"/>
      <c r="J60" s="477" t="s">
        <v>366</v>
      </c>
      <c r="K60" s="477"/>
      <c r="L60" s="476">
        <f>IF(AND(AO55=FALSE,AO56=FALSE),"",IF(AO55=TRUE,VLOOKUP(H19,補正率表!A115:D118,3),VLOOKUP(H19,補正率表!A116:F118,5)))</f>
        <v>0.9</v>
      </c>
      <c r="M60" s="476"/>
      <c r="N60" s="208" t="s">
        <v>359</v>
      </c>
      <c r="O60" s="216">
        <f>IF(AND(AO55=FALSE,AO56=FALSE),"",IF(AO55=TRUE,VLOOKUP(H19,補正率表!A115:D118,4),VLOOKUP(H19,補正率表!A116:F118,6)))</f>
        <v>75</v>
      </c>
      <c r="P60" s="208" t="s">
        <v>360</v>
      </c>
      <c r="Q60" s="433">
        <f>G60</f>
        <v>1125</v>
      </c>
      <c r="R60" s="433"/>
      <c r="S60" s="433"/>
      <c r="T60" s="223" t="s">
        <v>368</v>
      </c>
      <c r="U60" s="347" t="s">
        <v>361</v>
      </c>
      <c r="V60" s="347"/>
      <c r="W60" s="7" t="s">
        <v>362</v>
      </c>
      <c r="X60" s="370">
        <f>IF(AND(AO55=FALSE,AO56=FALSE),"",ROUNDDOWN((G60*L60+O60)/Q60*0.8,2))</f>
        <v>0.77</v>
      </c>
      <c r="Y60" s="370"/>
      <c r="Z60" s="317"/>
      <c r="AA60" s="211"/>
      <c r="AB60" s="211"/>
      <c r="AC60" s="13"/>
      <c r="AD60" s="428"/>
      <c r="AE60" s="428"/>
      <c r="AF60" s="428"/>
      <c r="AG60" s="428"/>
      <c r="AH60" s="428"/>
      <c r="AI60" s="428"/>
      <c r="AJ60" s="428"/>
      <c r="AK60" s="347"/>
      <c r="AL60" s="21"/>
      <c r="AN60" s="137"/>
      <c r="AQ60" s="182"/>
      <c r="AR60" s="388" t="s">
        <v>355</v>
      </c>
      <c r="AS60" s="388"/>
      <c r="AT60" s="388"/>
      <c r="AU60" s="388"/>
      <c r="AV60" s="388"/>
      <c r="AW60" s="388"/>
      <c r="AX60" s="389"/>
    </row>
    <row r="61" spans="3:50" s="2" customFormat="1" ht="1.5" customHeight="1">
      <c r="C61" s="345"/>
      <c r="D61" s="287"/>
      <c r="E61" s="173"/>
      <c r="F61" s="116"/>
      <c r="G61" s="174"/>
      <c r="H61" s="174"/>
      <c r="I61" s="174"/>
      <c r="J61" s="174"/>
      <c r="K61" s="176"/>
      <c r="L61" s="16"/>
      <c r="M61" s="172"/>
      <c r="N61" s="13"/>
      <c r="O61" s="13"/>
      <c r="P61" s="172"/>
      <c r="Q61" s="118"/>
      <c r="R61" s="13"/>
      <c r="S61" s="13"/>
      <c r="T61" s="172"/>
      <c r="U61" s="119"/>
      <c r="V61" s="120"/>
      <c r="W61" s="16"/>
      <c r="X61" s="13"/>
      <c r="Y61" s="13"/>
      <c r="Z61" s="255"/>
      <c r="AA61" s="13"/>
      <c r="AB61" s="13"/>
      <c r="AC61" s="13"/>
      <c r="AD61" s="428"/>
      <c r="AE61" s="428"/>
      <c r="AF61" s="428"/>
      <c r="AG61" s="428"/>
      <c r="AH61" s="428"/>
      <c r="AI61" s="428"/>
      <c r="AJ61" s="428"/>
      <c r="AK61" s="347"/>
      <c r="AL61" s="21"/>
      <c r="AN61" s="137"/>
    </row>
    <row r="62" spans="3:50" s="2" customFormat="1" ht="11.25" customHeight="1">
      <c r="C62" s="345"/>
      <c r="D62" s="173">
        <v>7</v>
      </c>
      <c r="E62" s="351" t="s">
        <v>81</v>
      </c>
      <c r="F62" s="351"/>
      <c r="G62" s="351"/>
      <c r="H62" s="351"/>
      <c r="I62" s="351"/>
      <c r="J62" s="351"/>
      <c r="K62" s="351"/>
      <c r="L62" s="312"/>
      <c r="M62" s="13"/>
      <c r="N62" s="13"/>
      <c r="O62" s="13"/>
      <c r="P62" s="13"/>
      <c r="Q62" s="13"/>
      <c r="R62" s="13"/>
      <c r="S62" s="13"/>
      <c r="T62" s="13"/>
      <c r="U62" s="13"/>
      <c r="V62" s="13"/>
      <c r="W62" s="13"/>
      <c r="X62" s="13"/>
      <c r="Y62" s="13"/>
      <c r="Z62" s="255"/>
      <c r="AA62" s="13"/>
      <c r="AB62" s="13"/>
      <c r="AC62" s="13"/>
      <c r="AD62" s="347" t="s">
        <v>62</v>
      </c>
      <c r="AE62" s="347"/>
      <c r="AF62" s="347"/>
      <c r="AG62" s="347"/>
      <c r="AH62" s="347"/>
      <c r="AI62" s="347"/>
      <c r="AJ62" s="11" t="s">
        <v>2</v>
      </c>
      <c r="AL62" s="21"/>
      <c r="AN62" s="137"/>
      <c r="AP62" s="181"/>
      <c r="AQ62" s="181"/>
      <c r="AR62" s="181"/>
      <c r="AS62" s="181"/>
      <c r="AT62" s="181"/>
      <c r="AU62" s="181"/>
    </row>
    <row r="63" spans="3:50" s="2" customFormat="1" ht="9" customHeight="1">
      <c r="C63" s="345"/>
      <c r="D63" s="287"/>
      <c r="E63" s="19"/>
      <c r="F63" s="360" t="s">
        <v>356</v>
      </c>
      <c r="G63" s="360"/>
      <c r="H63" s="360"/>
      <c r="I63" s="360"/>
      <c r="J63" s="360"/>
      <c r="K63" s="360"/>
      <c r="L63" s="360"/>
      <c r="M63" s="361" t="s">
        <v>137</v>
      </c>
      <c r="N63" s="361"/>
      <c r="O63" s="361"/>
      <c r="P63" s="361"/>
      <c r="Q63" s="361"/>
      <c r="R63" s="361"/>
      <c r="S63" s="361"/>
      <c r="T63" s="361"/>
      <c r="U63" s="13"/>
      <c r="V63" s="13"/>
      <c r="W63" s="13"/>
      <c r="X63" s="13"/>
      <c r="Y63" s="13"/>
      <c r="Z63" s="255"/>
      <c r="AA63" s="13"/>
      <c r="AB63" s="13"/>
      <c r="AC63" s="13"/>
      <c r="AD63" s="358" t="str">
        <f>IF(K67="","",ROUNDDOWN(F64*(1-O64),0))</f>
        <v/>
      </c>
      <c r="AE63" s="358"/>
      <c r="AF63" s="358"/>
      <c r="AG63" s="358"/>
      <c r="AH63" s="358"/>
      <c r="AI63" s="358"/>
      <c r="AJ63" s="358"/>
      <c r="AK63" s="347" t="s">
        <v>335</v>
      </c>
      <c r="AL63" s="21"/>
      <c r="AN63" s="137"/>
    </row>
    <row r="64" spans="3:50" s="2" customFormat="1" ht="13.5" customHeight="1">
      <c r="C64" s="345"/>
      <c r="D64" s="287"/>
      <c r="E64" s="19"/>
      <c r="F64" s="363" t="str">
        <f>IF(K67="","",IF(価額G="",価額Ｆ,価額G))</f>
        <v/>
      </c>
      <c r="G64" s="363"/>
      <c r="H64" s="363"/>
      <c r="I64" s="363"/>
      <c r="J64" s="415" t="s">
        <v>218</v>
      </c>
      <c r="K64" s="415"/>
      <c r="L64" s="415"/>
      <c r="M64" s="415"/>
      <c r="N64" s="415"/>
      <c r="O64" s="359" t="str">
        <f>IF(K67="","",IF(Y67&gt;0.4,0.4,Y67))</f>
        <v/>
      </c>
      <c r="P64" s="359"/>
      <c r="Q64" s="359"/>
      <c r="R64" s="359"/>
      <c r="S64" s="13" t="s">
        <v>107</v>
      </c>
      <c r="T64" s="13"/>
      <c r="U64" s="13"/>
      <c r="V64" s="13"/>
      <c r="W64" s="13"/>
      <c r="X64" s="13"/>
      <c r="Y64" s="13"/>
      <c r="Z64" s="255"/>
      <c r="AA64" s="13"/>
      <c r="AB64" s="13"/>
      <c r="AC64" s="13"/>
      <c r="AD64" s="358"/>
      <c r="AE64" s="358"/>
      <c r="AF64" s="358"/>
      <c r="AG64" s="358"/>
      <c r="AH64" s="358"/>
      <c r="AI64" s="358"/>
      <c r="AJ64" s="358"/>
      <c r="AK64" s="347"/>
      <c r="AL64" s="21"/>
      <c r="AN64" s="137"/>
      <c r="AV64"/>
      <c r="AW64"/>
      <c r="AX64"/>
    </row>
    <row r="65" spans="3:50" s="2" customFormat="1" ht="9.75" customHeight="1">
      <c r="C65" s="345"/>
      <c r="D65" s="287"/>
      <c r="E65" s="19"/>
      <c r="F65" s="108" t="s">
        <v>200</v>
      </c>
      <c r="G65" s="108"/>
      <c r="H65" s="16"/>
      <c r="I65" s="16"/>
      <c r="J65" s="16"/>
      <c r="K65" s="16"/>
      <c r="L65" s="16"/>
      <c r="M65" s="16"/>
      <c r="N65" s="16"/>
      <c r="O65" s="438" t="s">
        <v>357</v>
      </c>
      <c r="P65" s="408"/>
      <c r="Q65" s="408"/>
      <c r="R65" s="408"/>
      <c r="S65" s="16"/>
      <c r="T65" s="16"/>
      <c r="U65" s="13"/>
      <c r="V65" s="13"/>
      <c r="W65" s="13"/>
      <c r="X65" s="13"/>
      <c r="Y65" s="13"/>
      <c r="Z65" s="255"/>
      <c r="AA65" s="13"/>
      <c r="AB65" s="13"/>
      <c r="AC65" s="13"/>
      <c r="AD65" s="358"/>
      <c r="AE65" s="358"/>
      <c r="AF65" s="358"/>
      <c r="AG65" s="358"/>
      <c r="AH65" s="358"/>
      <c r="AI65" s="358"/>
      <c r="AJ65" s="358"/>
      <c r="AK65" s="347"/>
      <c r="AL65" s="21"/>
      <c r="AN65" s="137"/>
      <c r="AV65"/>
      <c r="AW65"/>
      <c r="AX65"/>
    </row>
    <row r="66" spans="3:50" s="2" customFormat="1" ht="9.75" customHeight="1">
      <c r="C66" s="345"/>
      <c r="D66" s="287"/>
      <c r="E66" s="19"/>
      <c r="F66" s="408" t="s">
        <v>82</v>
      </c>
      <c r="G66" s="408"/>
      <c r="H66" s="408"/>
      <c r="I66" s="408"/>
      <c r="J66" s="408" t="s">
        <v>83</v>
      </c>
      <c r="K66" s="408"/>
      <c r="L66" s="408"/>
      <c r="M66" s="408"/>
      <c r="N66" s="408"/>
      <c r="O66" s="408"/>
      <c r="P66" s="408"/>
      <c r="Q66" s="408"/>
      <c r="R66" s="408"/>
      <c r="S66" s="479" t="s">
        <v>84</v>
      </c>
      <c r="T66" s="479"/>
      <c r="U66" s="479"/>
      <c r="V66" s="479"/>
      <c r="W66" s="479"/>
      <c r="X66" s="107"/>
      <c r="Y66" s="13"/>
      <c r="Z66" s="255"/>
      <c r="AA66" s="13"/>
      <c r="AB66" s="13"/>
      <c r="AC66" s="13"/>
      <c r="AD66" s="358"/>
      <c r="AE66" s="358"/>
      <c r="AF66" s="358"/>
      <c r="AG66" s="358"/>
      <c r="AH66" s="358"/>
      <c r="AI66" s="358"/>
      <c r="AJ66" s="358"/>
      <c r="AK66" s="347"/>
      <c r="AL66" s="21"/>
      <c r="AN66" s="137"/>
      <c r="AV66"/>
      <c r="AW66"/>
      <c r="AX66"/>
    </row>
    <row r="67" spans="3:50" customFormat="1" ht="14.25" customHeight="1">
      <c r="C67" s="345"/>
      <c r="D67" s="287"/>
      <c r="E67" s="122" t="s">
        <v>138</v>
      </c>
      <c r="F67" s="363" t="str">
        <f>IF(K67="","",正面路線価)</f>
        <v/>
      </c>
      <c r="G67" s="363"/>
      <c r="H67" s="363"/>
      <c r="I67" s="347" t="s">
        <v>85</v>
      </c>
      <c r="J67" s="347"/>
      <c r="K67" s="425"/>
      <c r="L67" s="425"/>
      <c r="M67" s="425"/>
      <c r="N67" s="451" t="s">
        <v>139</v>
      </c>
      <c r="O67" s="451"/>
      <c r="P67" s="363" t="str">
        <f>IF(K67="","",IF(価額G="",価額Ｆ,価額G))</f>
        <v/>
      </c>
      <c r="Q67" s="363"/>
      <c r="R67" s="363"/>
      <c r="S67" s="27" t="s">
        <v>6</v>
      </c>
      <c r="T67" s="434" t="str">
        <f>IF(K67="","",H19)</f>
        <v/>
      </c>
      <c r="U67" s="434"/>
      <c r="V67" s="434"/>
      <c r="W67" s="451" t="s">
        <v>217</v>
      </c>
      <c r="X67" s="451"/>
      <c r="Y67" s="436" t="str">
        <f>IF(K67="","",(F67*K67)/(P67*T67))</f>
        <v/>
      </c>
      <c r="Z67" s="436"/>
      <c r="AA67" s="436"/>
      <c r="AB67" s="436"/>
      <c r="AC67" s="436"/>
      <c r="AD67" s="358"/>
      <c r="AE67" s="358"/>
      <c r="AF67" s="358"/>
      <c r="AG67" s="358"/>
      <c r="AH67" s="358"/>
      <c r="AI67" s="358"/>
      <c r="AJ67" s="358"/>
      <c r="AK67" s="347"/>
      <c r="AL67" s="28"/>
      <c r="AM67" s="2"/>
      <c r="AN67" s="137"/>
      <c r="AO67" s="2"/>
      <c r="AP67" s="2"/>
      <c r="AQ67" s="2"/>
    </row>
    <row r="68" spans="3:50" customFormat="1" ht="11.25" customHeight="1">
      <c r="C68" s="345"/>
      <c r="D68" s="22" t="s">
        <v>518</v>
      </c>
      <c r="E68" s="351" t="s">
        <v>318</v>
      </c>
      <c r="F68" s="351"/>
      <c r="G68" s="351"/>
      <c r="H68" s="351"/>
      <c r="I68" s="351"/>
      <c r="J68" s="351"/>
      <c r="K68" s="351"/>
      <c r="L68" s="312"/>
      <c r="M68" s="312"/>
      <c r="N68" s="437" t="s">
        <v>471</v>
      </c>
      <c r="O68" s="437"/>
      <c r="P68" s="437"/>
      <c r="Q68" s="57" t="s">
        <v>470</v>
      </c>
      <c r="R68" s="316" t="s">
        <v>586</v>
      </c>
      <c r="S68" s="57" t="s">
        <v>219</v>
      </c>
      <c r="T68" s="13"/>
      <c r="U68" s="13"/>
      <c r="V68" s="1"/>
      <c r="W68" s="1"/>
      <c r="X68" s="13"/>
      <c r="Y68" s="481" t="s">
        <v>220</v>
      </c>
      <c r="Z68" s="481"/>
      <c r="AA68" s="481"/>
      <c r="AB68" s="481"/>
      <c r="AC68" s="13"/>
      <c r="AD68" s="347" t="s">
        <v>62</v>
      </c>
      <c r="AE68" s="347"/>
      <c r="AF68" s="347"/>
      <c r="AG68" s="347"/>
      <c r="AH68" s="347"/>
      <c r="AI68" s="347"/>
      <c r="AJ68" s="11" t="s">
        <v>2</v>
      </c>
      <c r="AK68" s="1"/>
      <c r="AL68" s="29"/>
      <c r="AM68" s="2"/>
      <c r="AN68" s="2"/>
      <c r="AO68" s="2"/>
      <c r="AP68" s="2"/>
      <c r="AQ68" s="2"/>
    </row>
    <row r="69" spans="3:50" customFormat="1" ht="9" customHeight="1">
      <c r="C69" s="345"/>
      <c r="D69" s="287"/>
      <c r="E69" s="11"/>
      <c r="F69" s="453" t="s">
        <v>345</v>
      </c>
      <c r="G69" s="453"/>
      <c r="H69" s="453"/>
      <c r="I69" s="453"/>
      <c r="J69" s="453"/>
      <c r="K69" s="453"/>
      <c r="L69" s="453"/>
      <c r="M69" s="453"/>
      <c r="N69" s="27"/>
      <c r="O69" s="27"/>
      <c r="P69" s="408" t="s">
        <v>86</v>
      </c>
      <c r="Q69" s="408"/>
      <c r="R69" s="408"/>
      <c r="S69" s="408"/>
      <c r="T69" s="408"/>
      <c r="U69" s="408"/>
      <c r="V69" s="13"/>
      <c r="W69" s="13"/>
      <c r="X69" s="13"/>
      <c r="Y69" s="366">
        <v>150</v>
      </c>
      <c r="Z69" s="366"/>
      <c r="AA69" s="366"/>
      <c r="AB69" s="366"/>
      <c r="AC69" s="107" t="s">
        <v>94</v>
      </c>
      <c r="AD69" s="358">
        <f>IF(Y69="","",ROUNDDOWN(F70*Q70,0))</f>
        <v>232775</v>
      </c>
      <c r="AE69" s="358"/>
      <c r="AF69" s="358"/>
      <c r="AG69" s="358"/>
      <c r="AH69" s="358"/>
      <c r="AI69" s="358"/>
      <c r="AJ69" s="358"/>
      <c r="AK69" s="383" t="s">
        <v>336</v>
      </c>
      <c r="AL69" s="29"/>
      <c r="AM69" s="263" t="s">
        <v>221</v>
      </c>
      <c r="AN69" s="2"/>
    </row>
    <row r="70" spans="3:50" customFormat="1" ht="12.75" customHeight="1">
      <c r="C70" s="345"/>
      <c r="D70" s="287"/>
      <c r="E70" s="11"/>
      <c r="F70" s="363">
        <f>IF(Y69="","",IF(AND(価額Ｅ="",価額Ｆ="",価額G="",価額H=""),MAX(価額Ａ,価額Ｂ,価額Ｃ,価額Ｄ),MIN(価額Ｅ,価額Ｆ,価額G,価額H)))</f>
        <v>250296</v>
      </c>
      <c r="G70" s="363"/>
      <c r="H70" s="363"/>
      <c r="I70" s="363"/>
      <c r="J70" s="363"/>
      <c r="K70" s="363"/>
      <c r="L70" s="451" t="s">
        <v>85</v>
      </c>
      <c r="M70" s="451"/>
      <c r="N70" s="112"/>
      <c r="O70" s="112"/>
      <c r="P70" s="116"/>
      <c r="Q70" s="452">
        <f>IF(Y69="","",VLOOKUP(AM70,補正率表!A93:F102,MATCH(R68,補正率表!A92:F92,0)))</f>
        <v>0.93</v>
      </c>
      <c r="R70" s="452"/>
      <c r="S70" s="452"/>
      <c r="T70" s="452"/>
      <c r="U70" s="13"/>
      <c r="V70" s="13"/>
      <c r="W70" s="13"/>
      <c r="X70" s="13"/>
      <c r="Y70" s="13"/>
      <c r="Z70" s="255"/>
      <c r="AA70" s="13"/>
      <c r="AB70" s="13"/>
      <c r="AC70" s="13"/>
      <c r="AD70" s="358"/>
      <c r="AE70" s="358"/>
      <c r="AF70" s="358"/>
      <c r="AG70" s="358"/>
      <c r="AH70" s="358"/>
      <c r="AI70" s="358"/>
      <c r="AJ70" s="358"/>
      <c r="AK70" s="383"/>
      <c r="AL70" s="29"/>
      <c r="AM70" s="254">
        <f>Y69/H19</f>
        <v>0.13333333333333333</v>
      </c>
      <c r="AN70" s="2"/>
      <c r="AQ70" s="1"/>
      <c r="AR70" s="262" t="s">
        <v>469</v>
      </c>
      <c r="AS70" s="262"/>
      <c r="AT70" t="s">
        <v>469</v>
      </c>
    </row>
    <row r="71" spans="3:50" customFormat="1" ht="11.25" customHeight="1">
      <c r="C71" s="345"/>
      <c r="D71" s="22" t="s">
        <v>519</v>
      </c>
      <c r="E71" s="351" t="s">
        <v>520</v>
      </c>
      <c r="F71" s="351"/>
      <c r="G71" s="351"/>
      <c r="H71" s="351"/>
      <c r="I71" s="351"/>
      <c r="J71" s="351"/>
      <c r="K71" s="351"/>
      <c r="L71" s="351"/>
      <c r="M71" s="351"/>
      <c r="N71" s="351"/>
      <c r="O71" s="312"/>
      <c r="P71" s="293"/>
      <c r="Q71" s="294"/>
      <c r="R71" s="294"/>
      <c r="S71" s="294"/>
      <c r="T71" s="294"/>
      <c r="U71" s="283"/>
      <c r="V71" s="283"/>
      <c r="W71" s="283"/>
      <c r="X71" s="283"/>
      <c r="Y71" s="367" t="s">
        <v>529</v>
      </c>
      <c r="Z71" s="367"/>
      <c r="AA71" s="367"/>
      <c r="AB71" s="367"/>
      <c r="AC71" s="283"/>
      <c r="AD71" s="347" t="s">
        <v>62</v>
      </c>
      <c r="AE71" s="347"/>
      <c r="AF71" s="347"/>
      <c r="AG71" s="347"/>
      <c r="AH71" s="347"/>
      <c r="AI71" s="347"/>
      <c r="AJ71" s="281" t="s">
        <v>2</v>
      </c>
      <c r="AK71" s="282"/>
      <c r="AL71" s="29"/>
      <c r="AM71" s="315"/>
      <c r="AN71" s="2"/>
      <c r="AQ71" s="1"/>
      <c r="AR71" s="262"/>
      <c r="AS71" s="262"/>
    </row>
    <row r="72" spans="3:50" customFormat="1" ht="9" customHeight="1">
      <c r="C72" s="345"/>
      <c r="D72" s="287"/>
      <c r="E72" s="281"/>
      <c r="F72" s="453" t="s">
        <v>345</v>
      </c>
      <c r="G72" s="453"/>
      <c r="H72" s="453"/>
      <c r="I72" s="453"/>
      <c r="J72" s="453"/>
      <c r="K72" s="453"/>
      <c r="L72" s="453"/>
      <c r="M72" s="453"/>
      <c r="N72" s="285"/>
      <c r="O72" s="295" t="s">
        <v>524</v>
      </c>
      <c r="P72" s="293"/>
      <c r="Q72" s="301"/>
      <c r="R72" s="301"/>
      <c r="S72" s="301"/>
      <c r="T72" s="301"/>
      <c r="U72" s="283"/>
      <c r="V72" s="283"/>
      <c r="W72" s="283"/>
      <c r="X72" s="283"/>
      <c r="Y72" s="366"/>
      <c r="Z72" s="366"/>
      <c r="AA72" s="366"/>
      <c r="AB72" s="366"/>
      <c r="AC72" s="286" t="s">
        <v>94</v>
      </c>
      <c r="AD72" s="358" t="str">
        <f>IF(O73="","",ROUNDDOWN(F73*O73,0))</f>
        <v/>
      </c>
      <c r="AE72" s="358"/>
      <c r="AF72" s="358"/>
      <c r="AG72" s="358"/>
      <c r="AH72" s="358"/>
      <c r="AI72" s="358"/>
      <c r="AJ72" s="358"/>
      <c r="AK72" s="347" t="s">
        <v>534</v>
      </c>
      <c r="AL72" s="29" t="s">
        <v>554</v>
      </c>
      <c r="AM72" s="318" t="s">
        <v>538</v>
      </c>
      <c r="AN72" s="2"/>
      <c r="AQ72" s="1"/>
      <c r="AR72" s="262"/>
      <c r="AS72" s="262"/>
    </row>
    <row r="73" spans="3:50" customFormat="1" ht="13.5" customHeight="1">
      <c r="C73" s="345"/>
      <c r="D73" s="287"/>
      <c r="E73" s="281"/>
      <c r="F73" s="363" t="str">
        <f>IF(Y72="","",IF(AND(価額Ｅ="",価額Ｆ="",価額G="",価額H=""),MAX(価額Ａ,価額Ｂ,価額Ｃ,価額Ｄ),MIN(価額Ｅ,価額Ｆ,価額G,価額H)))</f>
        <v/>
      </c>
      <c r="G73" s="363"/>
      <c r="H73" s="363"/>
      <c r="I73" s="363"/>
      <c r="J73" s="363"/>
      <c r="K73" s="363"/>
      <c r="L73" s="451" t="s">
        <v>85</v>
      </c>
      <c r="M73" s="451"/>
      <c r="N73" s="285"/>
      <c r="O73" s="434" t="str">
        <f>IF(Y72="","",IF(Y75="",VLOOKUP(AM73,補正率表!A122:C125,3,TRUE),U77))</f>
        <v/>
      </c>
      <c r="P73" s="434"/>
      <c r="Q73" s="434"/>
      <c r="R73" s="294"/>
      <c r="S73" s="294"/>
      <c r="T73" s="294"/>
      <c r="U73" s="283"/>
      <c r="V73" s="283"/>
      <c r="W73" s="283"/>
      <c r="X73" s="283"/>
      <c r="Y73" s="283"/>
      <c r="Z73" s="283"/>
      <c r="AA73" s="283"/>
      <c r="AB73" s="283"/>
      <c r="AC73" s="283"/>
      <c r="AD73" s="358"/>
      <c r="AE73" s="358"/>
      <c r="AF73" s="358"/>
      <c r="AG73" s="358"/>
      <c r="AH73" s="358"/>
      <c r="AI73" s="358"/>
      <c r="AJ73" s="358"/>
      <c r="AK73" s="347"/>
      <c r="AL73" s="29"/>
      <c r="AM73" s="254">
        <f>Y72/H19</f>
        <v>0</v>
      </c>
      <c r="AN73" s="2"/>
      <c r="AQ73" s="1"/>
      <c r="AR73" s="262"/>
      <c r="AS73" s="262"/>
    </row>
    <row r="74" spans="3:50" customFormat="1" ht="10.5" customHeight="1">
      <c r="C74" s="345"/>
      <c r="D74" s="287"/>
      <c r="E74" s="281"/>
      <c r="F74" s="483" t="s">
        <v>521</v>
      </c>
      <c r="G74" s="483"/>
      <c r="H74" s="483"/>
      <c r="I74" s="483"/>
      <c r="J74" s="483"/>
      <c r="K74" s="483"/>
      <c r="L74" s="483"/>
      <c r="M74" s="483"/>
      <c r="N74" s="483"/>
      <c r="O74" s="483"/>
      <c r="P74" s="483"/>
      <c r="Q74" s="483"/>
      <c r="R74" s="483"/>
      <c r="S74" s="483"/>
      <c r="T74" s="483"/>
      <c r="U74" s="483"/>
      <c r="V74" s="483"/>
      <c r="W74" s="483"/>
      <c r="X74" s="483"/>
      <c r="Y74" s="365" t="s">
        <v>220</v>
      </c>
      <c r="Z74" s="365"/>
      <c r="AA74" s="365"/>
      <c r="AB74" s="365"/>
      <c r="AC74" s="283"/>
      <c r="AD74" s="358"/>
      <c r="AE74" s="358"/>
      <c r="AF74" s="358"/>
      <c r="AG74" s="358"/>
      <c r="AH74" s="358"/>
      <c r="AI74" s="358"/>
      <c r="AJ74" s="358"/>
      <c r="AK74" s="347"/>
      <c r="AL74" s="29"/>
      <c r="AM74" s="263" t="s">
        <v>221</v>
      </c>
      <c r="AN74" s="2"/>
      <c r="AQ74" s="1"/>
      <c r="AR74" s="262"/>
      <c r="AS74" s="262"/>
    </row>
    <row r="75" spans="3:50" customFormat="1" ht="10.5" customHeight="1">
      <c r="C75" s="345"/>
      <c r="D75" s="287"/>
      <c r="E75" s="281"/>
      <c r="F75" s="296"/>
      <c r="G75" s="296"/>
      <c r="H75" s="296"/>
      <c r="I75" s="296"/>
      <c r="J75" s="296"/>
      <c r="K75" s="296"/>
      <c r="L75" s="297"/>
      <c r="M75" s="297"/>
      <c r="N75" s="482" t="s">
        <v>471</v>
      </c>
      <c r="O75" s="482"/>
      <c r="P75" s="482"/>
      <c r="Q75" s="284" t="s">
        <v>470</v>
      </c>
      <c r="R75" s="316" t="s">
        <v>586</v>
      </c>
      <c r="S75" s="284" t="s">
        <v>96</v>
      </c>
      <c r="T75" s="294"/>
      <c r="U75" s="283"/>
      <c r="V75" s="283"/>
      <c r="W75" s="283"/>
      <c r="X75" s="283"/>
      <c r="Y75" s="366"/>
      <c r="Z75" s="366"/>
      <c r="AA75" s="366"/>
      <c r="AB75" s="366"/>
      <c r="AC75" s="286" t="s">
        <v>94</v>
      </c>
      <c r="AD75" s="358"/>
      <c r="AE75" s="358"/>
      <c r="AF75" s="358"/>
      <c r="AG75" s="358"/>
      <c r="AH75" s="358"/>
      <c r="AI75" s="358"/>
      <c r="AJ75" s="358"/>
      <c r="AK75" s="347"/>
      <c r="AL75" s="29"/>
      <c r="AM75" s="254">
        <f>Y75/H19</f>
        <v>0</v>
      </c>
      <c r="AN75" s="2"/>
      <c r="AQ75" s="1"/>
      <c r="AR75" s="262"/>
      <c r="AS75" s="262"/>
    </row>
    <row r="76" spans="3:50" customFormat="1" ht="9.75" customHeight="1">
      <c r="C76" s="345"/>
      <c r="D76" s="287"/>
      <c r="E76" s="288"/>
      <c r="F76" s="298"/>
      <c r="G76" s="364" t="s">
        <v>522</v>
      </c>
      <c r="H76" s="364"/>
      <c r="I76" s="364"/>
      <c r="J76" s="364"/>
      <c r="K76" s="364"/>
      <c r="L76" s="364"/>
      <c r="M76" s="364"/>
      <c r="N76" s="297"/>
      <c r="O76" s="372" t="s">
        <v>523</v>
      </c>
      <c r="P76" s="372"/>
      <c r="Q76" s="372"/>
      <c r="R76" s="372"/>
      <c r="S76" s="300"/>
      <c r="T76" s="445" t="s">
        <v>517</v>
      </c>
      <c r="U76" s="445"/>
      <c r="V76" s="445"/>
      <c r="W76" s="445"/>
      <c r="X76" s="445"/>
      <c r="Y76" s="445"/>
      <c r="Z76" s="299"/>
      <c r="AA76" s="299"/>
      <c r="AB76" s="299"/>
      <c r="AC76" s="299"/>
      <c r="AD76" s="358"/>
      <c r="AE76" s="358"/>
      <c r="AF76" s="358"/>
      <c r="AG76" s="358"/>
      <c r="AH76" s="358"/>
      <c r="AI76" s="358"/>
      <c r="AJ76" s="358"/>
      <c r="AK76" s="347"/>
      <c r="AL76" s="29"/>
      <c r="AM76" s="1"/>
      <c r="AN76" s="3"/>
      <c r="AO76" s="1"/>
      <c r="AP76" s="1"/>
      <c r="AR76" s="146"/>
      <c r="AS76" s="262"/>
      <c r="AT76" s="262" t="s">
        <v>469</v>
      </c>
      <c r="AU76" s="262"/>
      <c r="AW76" s="252"/>
      <c r="AX76" s="1"/>
    </row>
    <row r="77" spans="3:50" customFormat="1" ht="15" customHeight="1">
      <c r="C77" s="345"/>
      <c r="D77" s="287"/>
      <c r="E77" s="281"/>
      <c r="F77" s="296"/>
      <c r="G77" s="296"/>
      <c r="H77" s="296"/>
      <c r="I77" s="371" t="str">
        <f>IF(Y75="","",VLOOKUP(AM73,補正率表!A122:C125,3,TRUE))</f>
        <v/>
      </c>
      <c r="J77" s="371"/>
      <c r="K77" s="371"/>
      <c r="L77" s="297"/>
      <c r="M77" s="297"/>
      <c r="N77" s="297" t="s">
        <v>539</v>
      </c>
      <c r="O77" s="368" t="str">
        <f>IF(Y75="","",VLOOKUP(AM75,補正率表!A93:F102,MATCH(R75,補正率表!A92:F92,0)))</f>
        <v/>
      </c>
      <c r="P77" s="369"/>
      <c r="Q77" s="369"/>
      <c r="R77" s="369"/>
      <c r="S77" s="297" t="s">
        <v>540</v>
      </c>
      <c r="T77" s="294"/>
      <c r="U77" s="370" t="str">
        <f>IF(Y75="","",IF(I77*O77&lt;0.5,0.5,ROUNDDOWN(I77*O77,2)))</f>
        <v/>
      </c>
      <c r="V77" s="370"/>
      <c r="W77" s="370"/>
      <c r="X77" s="283"/>
      <c r="Y77" s="283"/>
      <c r="Z77" s="283"/>
      <c r="AA77" s="283"/>
      <c r="AB77" s="283"/>
      <c r="AC77" s="283"/>
      <c r="AD77" s="358"/>
      <c r="AE77" s="358"/>
      <c r="AF77" s="358"/>
      <c r="AG77" s="358"/>
      <c r="AH77" s="358"/>
      <c r="AI77" s="358"/>
      <c r="AJ77" s="358"/>
      <c r="AK77" s="347"/>
      <c r="AL77" s="29"/>
      <c r="AM77" s="362" t="s">
        <v>309</v>
      </c>
      <c r="AN77" s="362"/>
      <c r="AO77" s="362"/>
      <c r="AP77" s="362"/>
      <c r="AS77" s="262"/>
      <c r="AT77" s="262" t="s">
        <v>469</v>
      </c>
      <c r="AU77" s="339" t="s">
        <v>611</v>
      </c>
      <c r="AV77" s="340"/>
      <c r="AW77" s="341"/>
      <c r="AX77" s="1"/>
    </row>
    <row r="78" spans="3:50" customFormat="1" ht="11.25" customHeight="1">
      <c r="C78" s="345"/>
      <c r="D78" s="173">
        <v>9</v>
      </c>
      <c r="E78" s="351" t="s">
        <v>87</v>
      </c>
      <c r="F78" s="351"/>
      <c r="G78" s="351"/>
      <c r="H78" s="351"/>
      <c r="I78" s="351"/>
      <c r="J78" s="351"/>
      <c r="K78" s="351"/>
      <c r="L78" s="351"/>
      <c r="M78" s="351"/>
      <c r="N78" s="351"/>
      <c r="O78" s="351"/>
      <c r="P78" s="312"/>
      <c r="Q78" s="312"/>
      <c r="R78" s="13"/>
      <c r="S78" s="13"/>
      <c r="T78" s="13"/>
      <c r="U78" s="13"/>
      <c r="V78" s="13"/>
      <c r="W78" s="13"/>
      <c r="X78" s="13"/>
      <c r="Y78" s="13"/>
      <c r="Z78" s="255"/>
      <c r="AA78" s="13"/>
      <c r="AB78" s="13"/>
      <c r="AC78" s="13"/>
      <c r="AD78" s="347" t="s">
        <v>62</v>
      </c>
      <c r="AE78" s="347"/>
      <c r="AF78" s="347"/>
      <c r="AG78" s="347"/>
      <c r="AH78" s="347"/>
      <c r="AI78" s="347"/>
      <c r="AJ78" s="11" t="s">
        <v>2</v>
      </c>
      <c r="AK78" s="1"/>
      <c r="AL78" s="29"/>
      <c r="AM78" s="129" t="s">
        <v>280</v>
      </c>
      <c r="AN78" s="149" t="s">
        <v>281</v>
      </c>
      <c r="AO78" s="355" t="s">
        <v>282</v>
      </c>
      <c r="AP78" s="356"/>
      <c r="AS78" s="262"/>
      <c r="AT78" s="262" t="s">
        <v>469</v>
      </c>
      <c r="AU78" s="342"/>
      <c r="AV78" s="343"/>
      <c r="AW78" s="344"/>
      <c r="AX78" s="1"/>
    </row>
    <row r="79" spans="3:50" ht="9" customHeight="1">
      <c r="C79" s="345"/>
      <c r="D79" s="287"/>
      <c r="E79" s="13"/>
      <c r="F79" s="464" t="s">
        <v>531</v>
      </c>
      <c r="G79" s="464"/>
      <c r="H79" s="464"/>
      <c r="I79" s="464"/>
      <c r="J79" s="464"/>
      <c r="K79" s="464"/>
      <c r="L79" s="464"/>
      <c r="M79" s="464"/>
      <c r="N79" s="467" t="s">
        <v>88</v>
      </c>
      <c r="O79" s="467"/>
      <c r="P79" s="467"/>
      <c r="Q79" s="467"/>
      <c r="R79" s="467"/>
      <c r="S79" s="467"/>
      <c r="T79" s="467"/>
      <c r="U79" s="467"/>
      <c r="V79" s="467"/>
      <c r="W79" s="13"/>
      <c r="X79" s="13"/>
      <c r="Y79" s="13"/>
      <c r="Z79" s="255"/>
      <c r="AA79" s="13"/>
      <c r="AB79" s="13"/>
      <c r="AC79" s="13"/>
      <c r="AD79" s="358">
        <f>IF(AM79="","",ROUNDDOWN(F80*(1-P80),0))</f>
        <v>206936</v>
      </c>
      <c r="AE79" s="358"/>
      <c r="AF79" s="358"/>
      <c r="AG79" s="358"/>
      <c r="AH79" s="358"/>
      <c r="AI79" s="358"/>
      <c r="AJ79" s="358"/>
      <c r="AK79" s="383" t="s">
        <v>535</v>
      </c>
      <c r="AL79" s="21"/>
      <c r="AM79" s="147">
        <v>400</v>
      </c>
      <c r="AN79" s="232">
        <v>625</v>
      </c>
      <c r="AO79" s="357">
        <f>AM79*AN79/100</f>
        <v>2500</v>
      </c>
      <c r="AP79" s="357"/>
      <c r="AQ79" s="145"/>
      <c r="AR79"/>
      <c r="AS79"/>
      <c r="AT79"/>
      <c r="AU79" s="335" t="s">
        <v>609</v>
      </c>
      <c r="AV79" s="334">
        <f>ROUNDDOWN(価額Ａ*(1-P80),0)</f>
        <v>258699</v>
      </c>
    </row>
    <row r="80" spans="3:50" ht="12.75" customHeight="1">
      <c r="C80" s="345"/>
      <c r="D80" s="287"/>
      <c r="E80" s="13"/>
      <c r="F80" s="363">
        <f>IF(AM79="","",IF(AND(価額Ｅ="",価額Ｆ="",価額G="",価額H="",価額I="",価額Ｊ=""),MAX(価額Ａ,価額Ｂ,価額Ｃ,価額Ｄ),MIN(価額Ｅ,価額Ｆ,価額G,価額H,価額I,価額Ｊ)))</f>
        <v>232775</v>
      </c>
      <c r="G80" s="363"/>
      <c r="H80" s="363"/>
      <c r="I80" s="363"/>
      <c r="J80" s="363"/>
      <c r="K80" s="363"/>
      <c r="L80" s="13"/>
      <c r="M80" s="113"/>
      <c r="N80" s="123" t="s">
        <v>284</v>
      </c>
      <c r="O80" s="116"/>
      <c r="P80" s="465">
        <f>IF(AM79="","",ROUND((1-((AO79+AO80+AO81)/(AM79*H19/100)))*AN82,3))</f>
        <v>0.111</v>
      </c>
      <c r="Q80" s="465"/>
      <c r="R80" s="465"/>
      <c r="S80" s="144"/>
      <c r="T80" s="144"/>
      <c r="U80" s="107" t="s">
        <v>107</v>
      </c>
      <c r="V80" s="13"/>
      <c r="W80" s="13"/>
      <c r="X80" s="13"/>
      <c r="Y80" s="13"/>
      <c r="Z80" s="255"/>
      <c r="AA80" s="13"/>
      <c r="AB80" s="13"/>
      <c r="AC80" s="13"/>
      <c r="AD80" s="358"/>
      <c r="AE80" s="358"/>
      <c r="AF80" s="358"/>
      <c r="AG80" s="358"/>
      <c r="AH80" s="358"/>
      <c r="AI80" s="358"/>
      <c r="AJ80" s="358"/>
      <c r="AK80" s="383"/>
      <c r="AL80" s="21"/>
      <c r="AM80" s="147">
        <v>200</v>
      </c>
      <c r="AN80" s="233">
        <v>500</v>
      </c>
      <c r="AO80" s="357">
        <f>AM80*AN80/100</f>
        <v>1000</v>
      </c>
      <c r="AP80" s="357"/>
      <c r="AQ80"/>
      <c r="AR80"/>
      <c r="AS80"/>
      <c r="AT80"/>
      <c r="AU80" s="335" t="s">
        <v>607</v>
      </c>
      <c r="AV80" s="334">
        <f>ROUNDDOWN(側方路線価１*VLOOKUP(P7,補正率表!$A$3:$I$31,MATCH(地区区分,補正率表!$A$2:$I$2,0)),0)</f>
        <v>242500</v>
      </c>
    </row>
    <row r="81" spans="3:49" ht="11.25" customHeight="1">
      <c r="C81" s="345"/>
      <c r="D81" s="19">
        <v>10</v>
      </c>
      <c r="E81" s="351" t="s">
        <v>89</v>
      </c>
      <c r="F81" s="351"/>
      <c r="G81" s="351"/>
      <c r="H81" s="351"/>
      <c r="I81" s="351"/>
      <c r="J81" s="351"/>
      <c r="K81" s="312"/>
      <c r="L81" s="13"/>
      <c r="M81" s="13"/>
      <c r="N81" s="13"/>
      <c r="O81" s="13"/>
      <c r="P81" s="13"/>
      <c r="Q81" s="13"/>
      <c r="R81" s="13"/>
      <c r="S81" s="13"/>
      <c r="T81" s="13"/>
      <c r="U81" s="13"/>
      <c r="V81" s="13"/>
      <c r="W81" s="13"/>
      <c r="X81" s="13"/>
      <c r="Y81" s="13"/>
      <c r="Z81" s="255"/>
      <c r="AA81" s="13"/>
      <c r="AB81" s="13"/>
      <c r="AC81" s="13"/>
      <c r="AD81" s="347" t="s">
        <v>62</v>
      </c>
      <c r="AE81" s="347"/>
      <c r="AF81" s="347"/>
      <c r="AG81" s="347"/>
      <c r="AH81" s="347"/>
      <c r="AI81" s="347"/>
      <c r="AJ81" s="11" t="s">
        <v>2</v>
      </c>
      <c r="AL81" s="3"/>
      <c r="AM81" s="147"/>
      <c r="AN81" s="233"/>
      <c r="AO81" s="357">
        <f>AM81*AN81/100</f>
        <v>0</v>
      </c>
      <c r="AP81" s="357"/>
      <c r="AQ81"/>
      <c r="AR81"/>
      <c r="AS81"/>
      <c r="AT81"/>
      <c r="AU81" s="335" t="s">
        <v>608</v>
      </c>
      <c r="AV81" s="334">
        <f>ROUNDDOWN(側方路線価２*VLOOKUP(P8,補正率表!$A$3:$I$31,MATCH(地区区分,補正率表!$A$2:$I$2,0)),0)</f>
        <v>194000</v>
      </c>
    </row>
    <row r="82" spans="3:49" ht="9" customHeight="1">
      <c r="C82" s="345"/>
      <c r="D82" s="287"/>
      <c r="E82" s="13"/>
      <c r="F82" s="464" t="s">
        <v>532</v>
      </c>
      <c r="G82" s="464"/>
      <c r="H82" s="464"/>
      <c r="I82" s="464"/>
      <c r="J82" s="464"/>
      <c r="K82" s="464"/>
      <c r="L82" s="464"/>
      <c r="M82" s="464"/>
      <c r="N82" s="13"/>
      <c r="O82" s="13"/>
      <c r="P82" s="13"/>
      <c r="Q82" s="13"/>
      <c r="R82" s="13"/>
      <c r="S82" s="13"/>
      <c r="T82" s="13"/>
      <c r="U82" s="13"/>
      <c r="V82" s="13"/>
      <c r="W82" s="13"/>
      <c r="X82" s="13"/>
      <c r="Y82" s="13"/>
      <c r="Z82" s="255"/>
      <c r="AA82" s="13"/>
      <c r="AB82" s="13"/>
      <c r="AC82" s="13"/>
      <c r="AD82" s="358" t="str">
        <f>IF(利用区分=5,ROUNDDOWN(G83*0.3,0),"")</f>
        <v/>
      </c>
      <c r="AE82" s="358"/>
      <c r="AF82" s="358"/>
      <c r="AG82" s="358"/>
      <c r="AH82" s="358"/>
      <c r="AI82" s="358"/>
      <c r="AJ82" s="358"/>
      <c r="AK82" s="383" t="s">
        <v>536</v>
      </c>
      <c r="AL82" s="3"/>
      <c r="AM82" s="164" t="s">
        <v>283</v>
      </c>
      <c r="AN82" s="150">
        <f>IF(AM79="","",IF(OR(M6=2,M6=3),0.8,IF(M6=4,0.5,IF(M6=5,0.1,0))))</f>
        <v>0.5</v>
      </c>
      <c r="AO82"/>
      <c r="AP82"/>
      <c r="AQ82"/>
      <c r="AR82"/>
      <c r="AS82"/>
      <c r="AT82"/>
      <c r="AU82" s="335" t="s">
        <v>610</v>
      </c>
      <c r="AV82" s="334">
        <f>ROUNDDOWN(裏面路線価*VLOOKUP(P9,補正率表!$A$3:$I$31,MATCH(地区区分,補正率表!$A$2:$I$2,0)),0)</f>
        <v>145500</v>
      </c>
    </row>
    <row r="83" spans="3:49" ht="13.5" customHeight="1">
      <c r="C83" s="345"/>
      <c r="D83" s="287"/>
      <c r="E83" s="13"/>
      <c r="G83" s="480" t="str">
        <f>IF(利用区分=5,IF(AND(価額Ｅ="",価額Ｆ="",価額G="",価額H="",価額I="",価額Ｊ="",価額Ｋ=""),MAX(価額Ａ,価額Ｂ,価額Ｃ,価額Ｄ),MIN(価額Ｅ,価額Ｆ,価額G,価額H,価額I,価額Ｊ,価額Ｋ)),"")</f>
        <v/>
      </c>
      <c r="H83" s="480"/>
      <c r="I83" s="480"/>
      <c r="J83" s="480"/>
      <c r="K83" s="480"/>
      <c r="L83" s="480"/>
      <c r="M83" s="472" t="s">
        <v>85</v>
      </c>
      <c r="N83" s="472"/>
      <c r="O83" s="473">
        <v>0.3</v>
      </c>
      <c r="P83" s="473"/>
      <c r="Q83" s="13"/>
      <c r="R83" s="13"/>
      <c r="S83" s="13"/>
      <c r="T83" s="13"/>
      <c r="U83" s="13"/>
      <c r="V83" s="13"/>
      <c r="W83" s="13"/>
      <c r="X83" s="13"/>
      <c r="Y83" s="13"/>
      <c r="Z83" s="255"/>
      <c r="AA83" s="13"/>
      <c r="AB83" s="13"/>
      <c r="AC83" s="13"/>
      <c r="AD83" s="358"/>
      <c r="AE83" s="358"/>
      <c r="AF83" s="358"/>
      <c r="AG83" s="358"/>
      <c r="AH83" s="358"/>
      <c r="AI83" s="358"/>
      <c r="AJ83" s="358"/>
      <c r="AK83" s="383"/>
      <c r="AM83" s="321" t="s">
        <v>297</v>
      </c>
      <c r="AN83" s="161">
        <f>IF(AM79="","",ROUNDDOWN((AO79+AO80+AO81)/H19,3))</f>
        <v>3.1110000000000002</v>
      </c>
      <c r="AO83" s="253" t="s">
        <v>462</v>
      </c>
      <c r="AP83" s="354" t="s">
        <v>572</v>
      </c>
      <c r="AQ83" s="354"/>
      <c r="AR83" s="354"/>
      <c r="AS83" s="354"/>
      <c r="AT83" s="354"/>
      <c r="AU83" s="354"/>
      <c r="AV83" s="354"/>
      <c r="AW83" s="354"/>
    </row>
    <row r="84" spans="3:49" ht="12" customHeight="1">
      <c r="C84" s="346" t="s">
        <v>295</v>
      </c>
      <c r="D84" s="347" t="s">
        <v>90</v>
      </c>
      <c r="E84" s="347"/>
      <c r="F84" s="347"/>
      <c r="G84" s="347"/>
      <c r="H84" s="347"/>
      <c r="I84" s="347"/>
      <c r="J84" s="347"/>
      <c r="K84" s="347"/>
      <c r="L84" s="347"/>
      <c r="M84" s="347"/>
      <c r="N84" s="347"/>
      <c r="O84" s="441" t="s">
        <v>203</v>
      </c>
      <c r="P84" s="441"/>
      <c r="Q84" s="441"/>
      <c r="R84" s="441"/>
      <c r="S84" s="441"/>
      <c r="T84" s="441"/>
      <c r="U84" s="441"/>
      <c r="V84" s="441"/>
      <c r="W84" s="441"/>
      <c r="X84" s="441" t="s">
        <v>202</v>
      </c>
      <c r="Y84" s="441"/>
      <c r="Z84" s="441"/>
      <c r="AA84" s="441"/>
      <c r="AB84" s="441"/>
      <c r="AC84" s="441"/>
      <c r="AD84" s="441"/>
      <c r="AE84" s="441"/>
      <c r="AF84" s="441"/>
      <c r="AG84" s="441"/>
      <c r="AH84" s="441"/>
      <c r="AI84" s="441"/>
      <c r="AJ84" s="441"/>
      <c r="AK84" s="347" t="s">
        <v>537</v>
      </c>
      <c r="AM84"/>
      <c r="AN84" s="67"/>
      <c r="AO84"/>
      <c r="AP84" s="354"/>
      <c r="AQ84" s="354"/>
      <c r="AR84" s="354"/>
      <c r="AS84" s="354"/>
      <c r="AT84" s="354"/>
      <c r="AU84" s="354"/>
      <c r="AV84" s="354"/>
      <c r="AW84" s="354"/>
    </row>
    <row r="85" spans="3:49" ht="11.25" customHeight="1">
      <c r="C85" s="346"/>
      <c r="D85" s="353" t="s">
        <v>533</v>
      </c>
      <c r="E85" s="353"/>
      <c r="F85" s="353"/>
      <c r="G85" s="353"/>
      <c r="H85" s="353"/>
      <c r="I85" s="353"/>
      <c r="J85" s="353"/>
      <c r="K85" s="353"/>
      <c r="L85" s="353"/>
      <c r="M85" s="353"/>
      <c r="N85" s="353"/>
      <c r="O85" s="441"/>
      <c r="P85" s="441"/>
      <c r="Q85" s="441"/>
      <c r="R85" s="441"/>
      <c r="S85" s="441"/>
      <c r="T85" s="441"/>
      <c r="U85" s="441"/>
      <c r="V85" s="441"/>
      <c r="W85" s="441"/>
      <c r="X85" s="361" t="s">
        <v>312</v>
      </c>
      <c r="Y85" s="361"/>
      <c r="Z85" s="361"/>
      <c r="AA85" s="361"/>
      <c r="AB85" s="361"/>
      <c r="AC85" s="361"/>
      <c r="AD85" s="361"/>
      <c r="AE85" s="361"/>
      <c r="AF85" s="361"/>
      <c r="AG85" s="361"/>
      <c r="AH85" s="361"/>
      <c r="AI85" s="361"/>
      <c r="AJ85" s="361"/>
      <c r="AK85" s="347"/>
      <c r="AM85"/>
      <c r="AN85" s="67"/>
      <c r="AO85"/>
      <c r="AP85"/>
      <c r="AQ85"/>
    </row>
    <row r="86" spans="3:49" ht="13.5" customHeight="1">
      <c r="C86" s="346"/>
      <c r="D86" s="162" t="s">
        <v>92</v>
      </c>
      <c r="E86" s="231" t="str">
        <f>VLOOKUP(I86,AD26:AK83,8,FALSE)</f>
        <v>Ｋ</v>
      </c>
      <c r="F86" s="167" t="s">
        <v>311</v>
      </c>
      <c r="H86" s="23"/>
      <c r="I86" s="446">
        <f>IF(AND(価額Ｅ="",価額Ｆ="",価額G="",価額H="",価額I="",価額Ｊ="",価額Ｋ="",価額Ｌ=""),MAX(価額Ａ,価額Ｂ,価額Ｃ,価額Ｄ),MIN(価額Ｅ,価額Ｆ,価額G,価額H,価額I,価額Ｊ,価額Ｋ,価額Ｌ))</f>
        <v>206936</v>
      </c>
      <c r="J86" s="446"/>
      <c r="K86" s="446"/>
      <c r="L86" s="446"/>
      <c r="M86" s="446"/>
      <c r="N86" s="11" t="s">
        <v>2</v>
      </c>
      <c r="O86" s="377" t="str">
        <f>IF(X3="",""," ※共有持分")</f>
        <v xml:space="preserve"> ※共有持分</v>
      </c>
      <c r="P86" s="377"/>
      <c r="Q86" s="377"/>
      <c r="R86" s="377"/>
      <c r="S86" s="378">
        <f>H19</f>
        <v>1125</v>
      </c>
      <c r="T86" s="378"/>
      <c r="U86" s="378"/>
      <c r="V86" s="378"/>
      <c r="W86" s="11" t="s">
        <v>140</v>
      </c>
      <c r="X86" s="380" t="str">
        <f>IF(X3="",""," ※持分を乗じた後の価額")</f>
        <v xml:space="preserve"> ※持分を乗じた後の価額</v>
      </c>
      <c r="Y86" s="380"/>
      <c r="Z86" s="380"/>
      <c r="AA86" s="380"/>
      <c r="AB86" s="380"/>
      <c r="AC86" s="381">
        <f>IF(X3="",ROUNDDOWN(I86*S86,0),ROUNDDOWN(I86*S86*U3/X3,0))</f>
        <v>116401500</v>
      </c>
      <c r="AD86" s="381"/>
      <c r="AE86" s="381"/>
      <c r="AF86" s="381"/>
      <c r="AG86" s="381"/>
      <c r="AH86" s="381"/>
      <c r="AI86" s="381"/>
      <c r="AJ86" s="11" t="s">
        <v>2</v>
      </c>
      <c r="AK86" s="347"/>
      <c r="AM86" s="373" t="s">
        <v>463</v>
      </c>
      <c r="AN86" s="374"/>
    </row>
    <row r="87" spans="3:49" ht="14.25" customHeight="1">
      <c r="C87" s="346"/>
      <c r="D87" s="309"/>
      <c r="E87" s="13"/>
      <c r="F87" s="13"/>
      <c r="G87" s="23"/>
      <c r="H87" s="23"/>
      <c r="I87" s="446"/>
      <c r="J87" s="446"/>
      <c r="K87" s="446"/>
      <c r="L87" s="446"/>
      <c r="M87" s="446"/>
      <c r="N87" s="121"/>
      <c r="O87" s="379" t="str">
        <f>IF(X3="","",U3&amp;"／"&amp;X3)</f>
        <v>1／2</v>
      </c>
      <c r="P87" s="379"/>
      <c r="Q87" s="379"/>
      <c r="R87" s="379"/>
      <c r="S87" s="378"/>
      <c r="T87" s="378"/>
      <c r="U87" s="378"/>
      <c r="V87" s="378"/>
      <c r="W87" s="13"/>
      <c r="X87" s="382"/>
      <c r="Y87" s="382"/>
      <c r="Z87" s="382"/>
      <c r="AA87" s="382"/>
      <c r="AB87" s="382"/>
      <c r="AC87" s="381"/>
      <c r="AD87" s="381"/>
      <c r="AE87" s="381"/>
      <c r="AF87" s="381"/>
      <c r="AG87" s="381"/>
      <c r="AH87" s="381"/>
      <c r="AI87" s="381"/>
      <c r="AJ87" s="13"/>
      <c r="AK87" s="347"/>
      <c r="AM87" s="375">
        <f>IF(X3="","",P3*U3/X3)</f>
        <v>562.5</v>
      </c>
      <c r="AN87" s="376"/>
    </row>
    <row r="88" spans="3:49" ht="3.75" customHeight="1">
      <c r="E88" s="3"/>
      <c r="F88" s="3"/>
      <c r="G88" s="4"/>
      <c r="H88" s="4"/>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5"/>
    </row>
    <row r="89" spans="3:49" ht="16.5" customHeight="1">
      <c r="E89" s="151"/>
      <c r="F89" s="151"/>
      <c r="G89" s="151"/>
      <c r="H89" s="151"/>
      <c r="I89" s="151"/>
      <c r="J89" s="151"/>
      <c r="K89" s="151"/>
      <c r="L89" s="151"/>
      <c r="M89" s="151"/>
      <c r="O89" s="442" t="str">
        <f>IF(AN89="","",VLOOKUP(AN89,AR89:AS98,2,FALSE))</f>
        <v>貸家建付地の評価額（裏面Ｓの金額）</v>
      </c>
      <c r="P89" s="442"/>
      <c r="Q89" s="442"/>
      <c r="R89" s="442"/>
      <c r="S89" s="442"/>
      <c r="T89" s="442"/>
      <c r="U89" s="442"/>
      <c r="V89" s="442"/>
      <c r="W89" s="442"/>
      <c r="X89" s="442"/>
      <c r="Y89" s="442"/>
      <c r="Z89" s="442"/>
      <c r="AA89" s="442"/>
      <c r="AB89" s="442"/>
      <c r="AC89" s="151"/>
      <c r="AD89" s="440">
        <f>IF(AN89="","",VLOOKUP(AN89,AR89:AT98,3,FALSE))</f>
        <v>88605732</v>
      </c>
      <c r="AE89" s="440"/>
      <c r="AF89" s="440"/>
      <c r="AG89" s="440"/>
      <c r="AH89" s="440"/>
      <c r="AI89" s="440"/>
      <c r="AJ89" s="152" t="str">
        <f>IF(AN89="","","円")</f>
        <v>円</v>
      </c>
      <c r="AK89" s="151"/>
      <c r="AM89" s="154" t="s">
        <v>294</v>
      </c>
      <c r="AN89" s="155" t="s">
        <v>581</v>
      </c>
      <c r="AP89" s="1" t="s">
        <v>293</v>
      </c>
      <c r="AR89" s="1" t="s">
        <v>287</v>
      </c>
      <c r="AS89" s="1" t="s">
        <v>542</v>
      </c>
      <c r="AT89" s="153">
        <f>価額Ｎ</f>
        <v>114952948</v>
      </c>
    </row>
    <row r="90" spans="3:49" ht="11.25">
      <c r="E90" s="151"/>
      <c r="F90" s="151"/>
      <c r="G90" s="151"/>
      <c r="H90" s="151"/>
      <c r="I90" s="151"/>
      <c r="J90" s="151"/>
      <c r="K90" s="151"/>
      <c r="L90" s="151"/>
      <c r="M90" s="151"/>
      <c r="O90" s="151"/>
      <c r="P90" s="151"/>
      <c r="Q90" s="151"/>
      <c r="R90" s="151"/>
      <c r="S90" s="151"/>
      <c r="T90" s="151"/>
      <c r="U90" s="151"/>
      <c r="V90" s="151"/>
      <c r="W90" s="151"/>
      <c r="X90" s="151"/>
      <c r="Y90" s="151"/>
      <c r="Z90" s="151"/>
      <c r="AA90" s="151"/>
      <c r="AB90" s="166"/>
      <c r="AC90" s="166"/>
      <c r="AD90" s="166"/>
      <c r="AE90" s="439" t="s">
        <v>320</v>
      </c>
      <c r="AF90" s="439"/>
      <c r="AG90" s="439"/>
      <c r="AH90" s="439"/>
      <c r="AI90" s="439"/>
      <c r="AJ90" s="439"/>
      <c r="AK90" s="439"/>
      <c r="AR90" s="1" t="s">
        <v>464</v>
      </c>
      <c r="AS90" s="1" t="s">
        <v>543</v>
      </c>
      <c r="AT90" s="153">
        <f>価額Ｏ</f>
        <v>108055771</v>
      </c>
    </row>
    <row r="91" spans="3:49">
      <c r="AR91" s="1" t="s">
        <v>494</v>
      </c>
      <c r="AS91" s="1" t="s">
        <v>544</v>
      </c>
      <c r="AT91" s="153" t="str">
        <f>価額Ｐ</f>
        <v/>
      </c>
    </row>
    <row r="92" spans="3:49">
      <c r="AR92" s="1" t="s">
        <v>288</v>
      </c>
      <c r="AS92" s="1" t="s">
        <v>545</v>
      </c>
      <c r="AT92" s="153" t="str">
        <f>価額Ｒ</f>
        <v/>
      </c>
    </row>
    <row r="93" spans="3:49">
      <c r="AR93" s="1" t="s">
        <v>546</v>
      </c>
      <c r="AS93" s="1" t="s">
        <v>547</v>
      </c>
      <c r="AT93" s="153">
        <f>価額Ｓ</f>
        <v>88605732</v>
      </c>
    </row>
    <row r="94" spans="3:49">
      <c r="AR94" s="1" t="s">
        <v>289</v>
      </c>
      <c r="AS94" s="1" t="s">
        <v>548</v>
      </c>
      <c r="AT94" s="153" t="str">
        <f>価額Ｕ</f>
        <v/>
      </c>
    </row>
    <row r="95" spans="3:49">
      <c r="AR95" s="1" t="s">
        <v>290</v>
      </c>
      <c r="AS95" s="1" t="s">
        <v>549</v>
      </c>
      <c r="AT95" s="153" t="str">
        <f>価額Ｖ</f>
        <v/>
      </c>
    </row>
    <row r="96" spans="3:49">
      <c r="AR96" s="1" t="s">
        <v>291</v>
      </c>
      <c r="AS96" s="1" t="s">
        <v>550</v>
      </c>
      <c r="AT96" s="153" t="str">
        <f>価額Ｗ</f>
        <v/>
      </c>
    </row>
    <row r="97" spans="44:46">
      <c r="AR97" s="1" t="s">
        <v>292</v>
      </c>
      <c r="AS97" s="1" t="s">
        <v>551</v>
      </c>
      <c r="AT97" s="153" t="str">
        <f>価額Ｘ</f>
        <v/>
      </c>
    </row>
    <row r="98" spans="44:46">
      <c r="AR98" s="1" t="s">
        <v>552</v>
      </c>
      <c r="AS98" s="1" t="s">
        <v>553</v>
      </c>
      <c r="AT98" s="153" t="str">
        <f>価額Ｙ</f>
        <v/>
      </c>
    </row>
  </sheetData>
  <sheetProtection algorithmName="SHA-512" hashValue="wmBYO26YFbAsh6jc2AFiQPuYiI+FzZssOYTRIaLUI996Fw8dWrIcyJqPg8cmhpGgVbMa0UN/emHdXqDWGbSJ8g==" saltValue="cU+olxwFqX7SROm6GyjD9Q==" spinCount="100000" sheet="1" objects="1" scenarios="1"/>
  <mergeCells count="368">
    <mergeCell ref="C23:D24"/>
    <mergeCell ref="E24:G24"/>
    <mergeCell ref="H21:H24"/>
    <mergeCell ref="R21:R24"/>
    <mergeCell ref="AA17:AA24"/>
    <mergeCell ref="AB17:AK24"/>
    <mergeCell ref="N38:Q38"/>
    <mergeCell ref="S38:V38"/>
    <mergeCell ref="Q29:T29"/>
    <mergeCell ref="Q32:T32"/>
    <mergeCell ref="Q35:T35"/>
    <mergeCell ref="M29:N29"/>
    <mergeCell ref="O29:P29"/>
    <mergeCell ref="O32:P32"/>
    <mergeCell ref="J23:L23"/>
    <mergeCell ref="AD28:AI28"/>
    <mergeCell ref="AA36:AB36"/>
    <mergeCell ref="V30:W30"/>
    <mergeCell ref="T36:U36"/>
    <mergeCell ref="AD32:AJ33"/>
    <mergeCell ref="M26:S26"/>
    <mergeCell ref="AA33:AB33"/>
    <mergeCell ref="AA30:AB30"/>
    <mergeCell ref="R36:S36"/>
    <mergeCell ref="AF12:AG12"/>
    <mergeCell ref="AD13:AK14"/>
    <mergeCell ref="AH12:AI12"/>
    <mergeCell ref="AI11:AK11"/>
    <mergeCell ref="T22:V22"/>
    <mergeCell ref="X8:Y8"/>
    <mergeCell ref="AL13:AL25"/>
    <mergeCell ref="T23:V23"/>
    <mergeCell ref="X23:Z23"/>
    <mergeCell ref="Y13:Y16"/>
    <mergeCell ref="Q13:X14"/>
    <mergeCell ref="Q15:X16"/>
    <mergeCell ref="T24:X24"/>
    <mergeCell ref="O24:Q24"/>
    <mergeCell ref="AD25:AI25"/>
    <mergeCell ref="AD15:AK16"/>
    <mergeCell ref="O22:Q22"/>
    <mergeCell ref="AJ12:AK12"/>
    <mergeCell ref="E3:F3"/>
    <mergeCell ref="G13:K14"/>
    <mergeCell ref="M13:N16"/>
    <mergeCell ref="L13:L14"/>
    <mergeCell ref="Z15:AC15"/>
    <mergeCell ref="Z16:AC16"/>
    <mergeCell ref="J22:L22"/>
    <mergeCell ref="O19:Q19"/>
    <mergeCell ref="E22:G22"/>
    <mergeCell ref="J21:L21"/>
    <mergeCell ref="O21:Q21"/>
    <mergeCell ref="O13:P13"/>
    <mergeCell ref="O14:P14"/>
    <mergeCell ref="O15:P15"/>
    <mergeCell ref="O16:P16"/>
    <mergeCell ref="C18:D18"/>
    <mergeCell ref="C13:E14"/>
    <mergeCell ref="C20:D20"/>
    <mergeCell ref="R9:T9"/>
    <mergeCell ref="J6:L6"/>
    <mergeCell ref="P5:Q5"/>
    <mergeCell ref="P6:Q6"/>
    <mergeCell ref="P7:Q7"/>
    <mergeCell ref="P8:Q8"/>
    <mergeCell ref="F13:F14"/>
    <mergeCell ref="O20:R20"/>
    <mergeCell ref="O18:R18"/>
    <mergeCell ref="M17:Z17"/>
    <mergeCell ref="J7:L7"/>
    <mergeCell ref="J8:L8"/>
    <mergeCell ref="J9:L9"/>
    <mergeCell ref="J5:M5"/>
    <mergeCell ref="Z12:AB12"/>
    <mergeCell ref="C19:D19"/>
    <mergeCell ref="F15:L16"/>
    <mergeCell ref="C15:E16"/>
    <mergeCell ref="N8:O8"/>
    <mergeCell ref="N9:O9"/>
    <mergeCell ref="R8:T8"/>
    <mergeCell ref="C8:D8"/>
    <mergeCell ref="C9:D9"/>
    <mergeCell ref="C5:D5"/>
    <mergeCell ref="E6:G6"/>
    <mergeCell ref="E7:G7"/>
    <mergeCell ref="E8:G8"/>
    <mergeCell ref="E9:G9"/>
    <mergeCell ref="E5:G5"/>
    <mergeCell ref="N5:O5"/>
    <mergeCell ref="H9:I9"/>
    <mergeCell ref="H8:I8"/>
    <mergeCell ref="D1:G2"/>
    <mergeCell ref="U3:W3"/>
    <mergeCell ref="U5:Y5"/>
    <mergeCell ref="C3:D3"/>
    <mergeCell ref="C6:D6"/>
    <mergeCell ref="C7:D7"/>
    <mergeCell ref="X6:Y6"/>
    <mergeCell ref="X7:Y7"/>
    <mergeCell ref="H5:I5"/>
    <mergeCell ref="H6:I6"/>
    <mergeCell ref="H7:I7"/>
    <mergeCell ref="U6:W6"/>
    <mergeCell ref="U7:W7"/>
    <mergeCell ref="N6:O6"/>
    <mergeCell ref="N7:O7"/>
    <mergeCell ref="R5:T5"/>
    <mergeCell ref="R6:T6"/>
    <mergeCell ref="R7:T7"/>
    <mergeCell ref="X3:Y3"/>
    <mergeCell ref="S3:T3"/>
    <mergeCell ref="P3:R3"/>
    <mergeCell ref="N3:O3"/>
    <mergeCell ref="J3:L3"/>
    <mergeCell ref="G3:I3"/>
    <mergeCell ref="M83:N83"/>
    <mergeCell ref="O83:P83"/>
    <mergeCell ref="F51:J51"/>
    <mergeCell ref="X54:AB54"/>
    <mergeCell ref="M52:O52"/>
    <mergeCell ref="L60:M60"/>
    <mergeCell ref="L59:M59"/>
    <mergeCell ref="J60:K60"/>
    <mergeCell ref="G60:I60"/>
    <mergeCell ref="F56:K56"/>
    <mergeCell ref="N56:O56"/>
    <mergeCell ref="L56:M56"/>
    <mergeCell ref="K67:M67"/>
    <mergeCell ref="S66:W66"/>
    <mergeCell ref="F58:K58"/>
    <mergeCell ref="F72:M72"/>
    <mergeCell ref="F73:K73"/>
    <mergeCell ref="L73:M73"/>
    <mergeCell ref="O73:Q73"/>
    <mergeCell ref="G83:L83"/>
    <mergeCell ref="W67:X67"/>
    <mergeCell ref="Y68:AB68"/>
    <mergeCell ref="N75:P75"/>
    <mergeCell ref="F74:X74"/>
    <mergeCell ref="F82:M82"/>
    <mergeCell ref="F80:K80"/>
    <mergeCell ref="P80:R80"/>
    <mergeCell ref="AD26:AJ27"/>
    <mergeCell ref="T30:U30"/>
    <mergeCell ref="O35:P35"/>
    <mergeCell ref="M32:N32"/>
    <mergeCell ref="M35:N35"/>
    <mergeCell ref="Y29:AC29"/>
    <mergeCell ref="Y32:AC32"/>
    <mergeCell ref="Y35:AC35"/>
    <mergeCell ref="W29:X29"/>
    <mergeCell ref="W32:X32"/>
    <mergeCell ref="AD81:AI81"/>
    <mergeCell ref="F79:M79"/>
    <mergeCell ref="N79:V79"/>
    <mergeCell ref="W59:AC59"/>
    <mergeCell ref="AD63:AJ67"/>
    <mergeCell ref="X49:AA49"/>
    <mergeCell ref="F64:I64"/>
    <mergeCell ref="J66:N66"/>
    <mergeCell ref="F66:I66"/>
    <mergeCell ref="M50:O50"/>
    <mergeCell ref="V48:V50"/>
    <mergeCell ref="C21:D22"/>
    <mergeCell ref="L46:P46"/>
    <mergeCell ref="F42:K42"/>
    <mergeCell ref="O42:P42"/>
    <mergeCell ref="T39:U39"/>
    <mergeCell ref="J30:K30"/>
    <mergeCell ref="F32:I32"/>
    <mergeCell ref="F29:I29"/>
    <mergeCell ref="L42:M42"/>
    <mergeCell ref="F26:J26"/>
    <mergeCell ref="F39:J39"/>
    <mergeCell ref="J33:K33"/>
    <mergeCell ref="L33:O33"/>
    <mergeCell ref="R33:S33"/>
    <mergeCell ref="J36:K36"/>
    <mergeCell ref="O39:P39"/>
    <mergeCell ref="F46:J46"/>
    <mergeCell ref="S45:W45"/>
    <mergeCell ref="L30:O30"/>
    <mergeCell ref="O23:Q23"/>
    <mergeCell ref="F36:I36"/>
    <mergeCell ref="W35:X35"/>
    <mergeCell ref="X21:Z21"/>
    <mergeCell ref="X22:Z22"/>
    <mergeCell ref="AO81:AP81"/>
    <mergeCell ref="F41:M41"/>
    <mergeCell ref="K45:L45"/>
    <mergeCell ref="G50:I50"/>
    <mergeCell ref="R46:V46"/>
    <mergeCell ref="Q45:R45"/>
    <mergeCell ref="G47:J47"/>
    <mergeCell ref="L47:O47"/>
    <mergeCell ref="U50:U52"/>
    <mergeCell ref="Q48:T49"/>
    <mergeCell ref="R50:S50"/>
    <mergeCell ref="R52:S52"/>
    <mergeCell ref="N67:O67"/>
    <mergeCell ref="Q70:T70"/>
    <mergeCell ref="AD68:AI68"/>
    <mergeCell ref="F69:M69"/>
    <mergeCell ref="F70:K70"/>
    <mergeCell ref="AD69:AJ70"/>
    <mergeCell ref="X51:AA51"/>
    <mergeCell ref="P69:U69"/>
    <mergeCell ref="F49:P49"/>
    <mergeCell ref="L70:M70"/>
    <mergeCell ref="G52:I52"/>
    <mergeCell ref="L51:P51"/>
    <mergeCell ref="N68:P68"/>
    <mergeCell ref="N41:R41"/>
    <mergeCell ref="O65:R66"/>
    <mergeCell ref="AE90:AK90"/>
    <mergeCell ref="AK35:AK36"/>
    <mergeCell ref="AK26:AK27"/>
    <mergeCell ref="AK32:AK33"/>
    <mergeCell ref="AK29:AK30"/>
    <mergeCell ref="AK38:AK39"/>
    <mergeCell ref="AK69:AK70"/>
    <mergeCell ref="AK79:AK80"/>
    <mergeCell ref="AD89:AI89"/>
    <mergeCell ref="AD37:AI37"/>
    <mergeCell ref="X85:AJ85"/>
    <mergeCell ref="X84:AJ84"/>
    <mergeCell ref="O89:AB89"/>
    <mergeCell ref="R47:U47"/>
    <mergeCell ref="M44:R44"/>
    <mergeCell ref="T33:U33"/>
    <mergeCell ref="AD72:AJ77"/>
    <mergeCell ref="Y69:AB69"/>
    <mergeCell ref="T76:Y76"/>
    <mergeCell ref="I86:M87"/>
    <mergeCell ref="O84:W85"/>
    <mergeCell ref="J64:N64"/>
    <mergeCell ref="G45:J45"/>
    <mergeCell ref="F38:M38"/>
    <mergeCell ref="F55:M55"/>
    <mergeCell ref="N55:Q55"/>
    <mergeCell ref="AD55:AJ61"/>
    <mergeCell ref="AK41:AK52"/>
    <mergeCell ref="AK55:AK61"/>
    <mergeCell ref="V36:W36"/>
    <mergeCell ref="AD38:AJ39"/>
    <mergeCell ref="X50:AA50"/>
    <mergeCell ref="L36:O36"/>
    <mergeCell ref="S44:W44"/>
    <mergeCell ref="W49:W50"/>
    <mergeCell ref="AK63:AK67"/>
    <mergeCell ref="AB49:AB50"/>
    <mergeCell ref="Q59:S59"/>
    <mergeCell ref="Q60:S60"/>
    <mergeCell ref="AD62:AI62"/>
    <mergeCell ref="U60:V60"/>
    <mergeCell ref="T67:V67"/>
    <mergeCell ref="AC48:AC50"/>
    <mergeCell ref="Y67:AC67"/>
    <mergeCell ref="F59:I59"/>
    <mergeCell ref="K27:L27"/>
    <mergeCell ref="E23:F23"/>
    <mergeCell ref="F27:J27"/>
    <mergeCell ref="O27:P27"/>
    <mergeCell ref="J24:L24"/>
    <mergeCell ref="F44:K44"/>
    <mergeCell ref="W12:X12"/>
    <mergeCell ref="AQ54:AX54"/>
    <mergeCell ref="AR55:AX55"/>
    <mergeCell ref="F33:I33"/>
    <mergeCell ref="F35:I35"/>
    <mergeCell ref="F30:I30"/>
    <mergeCell ref="R30:S30"/>
    <mergeCell ref="V33:W33"/>
    <mergeCell ref="AD29:AJ30"/>
    <mergeCell ref="AD34:AI34"/>
    <mergeCell ref="AD35:AJ36"/>
    <mergeCell ref="AM54:AN54"/>
    <mergeCell ref="X46:AA46"/>
    <mergeCell ref="AD31:AI31"/>
    <mergeCell ref="Z13:AC13"/>
    <mergeCell ref="Z14:AC14"/>
    <mergeCell ref="T21:V21"/>
    <mergeCell ref="AD12:AE12"/>
    <mergeCell ref="AR56:AX56"/>
    <mergeCell ref="AR59:AX59"/>
    <mergeCell ref="AR60:AX60"/>
    <mergeCell ref="U8:W8"/>
    <mergeCell ref="U9:W9"/>
    <mergeCell ref="P9:Q9"/>
    <mergeCell ref="AD54:AI54"/>
    <mergeCell ref="S18:V18"/>
    <mergeCell ref="S19:U19"/>
    <mergeCell ref="S20:V20"/>
    <mergeCell ref="W19:Y19"/>
    <mergeCell ref="W18:Z18"/>
    <mergeCell ref="W20:Z20"/>
    <mergeCell ref="X48:AA48"/>
    <mergeCell ref="AD40:AI40"/>
    <mergeCell ref="AD41:AJ52"/>
    <mergeCell ref="X47:AA47"/>
    <mergeCell ref="Y41:AA41"/>
    <mergeCell ref="Y42:AA42"/>
    <mergeCell ref="AB47:AC47"/>
    <mergeCell ref="X9:Y9"/>
    <mergeCell ref="N45:P45"/>
    <mergeCell ref="AR57:AX58"/>
    <mergeCell ref="X60:Y60"/>
    <mergeCell ref="O76:R76"/>
    <mergeCell ref="AM86:AN86"/>
    <mergeCell ref="AM87:AN87"/>
    <mergeCell ref="O86:R86"/>
    <mergeCell ref="S86:V87"/>
    <mergeCell ref="O87:R87"/>
    <mergeCell ref="X86:AB86"/>
    <mergeCell ref="AC86:AI87"/>
    <mergeCell ref="X87:AB87"/>
    <mergeCell ref="AK82:AK83"/>
    <mergeCell ref="AD82:AJ83"/>
    <mergeCell ref="AK84:AK87"/>
    <mergeCell ref="D85:N85"/>
    <mergeCell ref="AP83:AW84"/>
    <mergeCell ref="AO78:AP78"/>
    <mergeCell ref="AO79:AP79"/>
    <mergeCell ref="AD79:AJ80"/>
    <mergeCell ref="O64:R64"/>
    <mergeCell ref="F63:L63"/>
    <mergeCell ref="M63:T63"/>
    <mergeCell ref="I67:J67"/>
    <mergeCell ref="AM77:AP77"/>
    <mergeCell ref="AO80:AP80"/>
    <mergeCell ref="AD78:AI78"/>
    <mergeCell ref="F67:H67"/>
    <mergeCell ref="P67:R67"/>
    <mergeCell ref="G76:M76"/>
    <mergeCell ref="Y74:AB74"/>
    <mergeCell ref="Y75:AB75"/>
    <mergeCell ref="Y72:AB72"/>
    <mergeCell ref="Y71:AB71"/>
    <mergeCell ref="AK72:AK77"/>
    <mergeCell ref="AD71:AI71"/>
    <mergeCell ref="O77:R77"/>
    <mergeCell ref="U77:W77"/>
    <mergeCell ref="I77:K77"/>
    <mergeCell ref="AU77:AW78"/>
    <mergeCell ref="C25:C83"/>
    <mergeCell ref="C84:C87"/>
    <mergeCell ref="E18:G18"/>
    <mergeCell ref="E19:G19"/>
    <mergeCell ref="E20:G20"/>
    <mergeCell ref="C17:G17"/>
    <mergeCell ref="H17:K17"/>
    <mergeCell ref="H19:K20"/>
    <mergeCell ref="L18:N18"/>
    <mergeCell ref="L20:N20"/>
    <mergeCell ref="E25:J25"/>
    <mergeCell ref="E28:J28"/>
    <mergeCell ref="E31:J31"/>
    <mergeCell ref="E34:J34"/>
    <mergeCell ref="E37:J37"/>
    <mergeCell ref="E40:J40"/>
    <mergeCell ref="E54:K54"/>
    <mergeCell ref="E62:K62"/>
    <mergeCell ref="E68:K68"/>
    <mergeCell ref="E71:N71"/>
    <mergeCell ref="E78:O78"/>
    <mergeCell ref="E81:J81"/>
    <mergeCell ref="D84:N84"/>
  </mergeCells>
  <phoneticPr fontId="2"/>
  <conditionalFormatting sqref="T21:V23 X21:Y23 T24">
    <cfRule type="cellIs" dxfId="12" priority="34" operator="equal">
      <formula>$J$6</formula>
    </cfRule>
  </conditionalFormatting>
  <conditionalFormatting sqref="R7:T7">
    <cfRule type="cellIs" dxfId="11" priority="14" operator="greaterThan">
      <formula>$R$6</formula>
    </cfRule>
  </conditionalFormatting>
  <conditionalFormatting sqref="R7:T9">
    <cfRule type="cellIs" dxfId="10" priority="11" operator="greaterThan">
      <formula>$R$6</formula>
    </cfRule>
  </conditionalFormatting>
  <conditionalFormatting sqref="J21:L23 J24 O21:Q23">
    <cfRule type="cellIs" dxfId="9" priority="35" operator="equal">
      <formula>$J$3</formula>
    </cfRule>
  </conditionalFormatting>
  <conditionalFormatting sqref="E18">
    <cfRule type="expression" dxfId="8" priority="10">
      <formula>$E$3="山林"</formula>
    </cfRule>
  </conditionalFormatting>
  <conditionalFormatting sqref="E19">
    <cfRule type="expression" dxfId="7" priority="9">
      <formula>$E$3="雑種地"</formula>
    </cfRule>
  </conditionalFormatting>
  <conditionalFormatting sqref="C18:D18">
    <cfRule type="expression" dxfId="6" priority="8">
      <formula>$E$3="宅地"</formula>
    </cfRule>
  </conditionalFormatting>
  <conditionalFormatting sqref="C19:D19">
    <cfRule type="expression" dxfId="5" priority="7">
      <formula>$E$3="田"</formula>
    </cfRule>
  </conditionalFormatting>
  <conditionalFormatting sqref="C20:D20">
    <cfRule type="expression" dxfId="4" priority="6">
      <formula>$E$3="畑"</formula>
    </cfRule>
  </conditionalFormatting>
  <conditionalFormatting sqref="P7:Q7">
    <cfRule type="expression" dxfId="3" priority="4">
      <formula>AND($E$7&lt;&gt;"",$P$7="")</formula>
    </cfRule>
  </conditionalFormatting>
  <conditionalFormatting sqref="P8:Q8">
    <cfRule type="expression" dxfId="2" priority="3">
      <formula>AND($E$8&lt;&gt;"",$P$8="")</formula>
    </cfRule>
  </conditionalFormatting>
  <conditionalFormatting sqref="P9:Q9">
    <cfRule type="expression" dxfId="1" priority="2">
      <formula>AND($E$9&lt;&gt;"",$P$9="")</formula>
    </cfRule>
  </conditionalFormatting>
  <conditionalFormatting sqref="P80:R80">
    <cfRule type="expression" dxfId="0" priority="1">
      <formula>$AV$79&lt;MAX($AV$80:$AV$82)</formula>
    </cfRule>
  </conditionalFormatting>
  <dataValidations count="15">
    <dataValidation imeMode="on" allowBlank="1" showInputMessage="1" showErrorMessage="1" sqref="F15:L16 G13:K14 S18 Q15 L18 O18 W18 AD13:AK16 O24:Q24 O86:O87 AI11:AK11 AB17 Q13 Z12:AB12"/>
    <dataValidation imeMode="halfAlpha" allowBlank="1" showInputMessage="1" showErrorMessage="1" sqref="U7:W9 W20 E22:G22 N45:P45 S20 G45:J45 O20 P3 AH12:AI12 K67:M67 Y69:AB69 AM79:AN81 E6:G9 N6:O6 P7:Q9 X3 U3 L20 Y75:AB75 Y72:AB72 H19 I18"/>
    <dataValidation imeMode="off" allowBlank="1" showInputMessage="1" showErrorMessage="1" sqref="E10"/>
    <dataValidation type="whole" errorStyle="warning" operator="lessThanOrEqual" allowBlank="1" showInputMessage="1" showErrorMessage="1" errorTitle="正面路線判定誤り" error="正面路線の判定が誤っていると思われます_x000a_奥行価格補正後の路線価が、正面路線価より高くなっています_x000a_正面路線を入れ替えてください" sqref="R7:T7">
      <formula1>R6</formula1>
    </dataValidation>
    <dataValidation type="whole" errorStyle="warning" operator="lessThanOrEqual" allowBlank="1" showInputMessage="1" showErrorMessage="1" errorTitle="正面路線判定誤り" error="正面路線の判定が誤っていると思われます_x000a_奥行価格補正後の路線価が、正面路線価より高くなっています_x000a_正面路線を入れ替えてください" sqref="R8:T8">
      <formula1>R6</formula1>
    </dataValidation>
    <dataValidation type="whole" errorStyle="warning" operator="lessThanOrEqual" allowBlank="1" showInputMessage="1" showErrorMessage="1" errorTitle="正面路線判定誤り" error="正面路線の判定が誤っていると思われます_x000a_奥行価格補正後の路線価が、正面路線価より高くなっています_x000a_正面路線を入れ替えてください" sqref="R9:T9">
      <formula1>R6</formula1>
    </dataValidation>
    <dataValidation type="decimal" imeMode="halfAlpha" operator="greaterThan" allowBlank="1" showErrorMessage="1" errorTitle="エラー" error="この距離は左欄の「接する距離」より大きい値を入力します" sqref="X7:Z9">
      <formula1>U7</formula1>
    </dataValidation>
    <dataValidation type="decimal" errorStyle="warning" imeMode="halfAlpha" operator="lessThanOrEqual" allowBlank="1" showInputMessage="1" showErrorMessage="1" errorTitle="奥行距離誤り" error="奥行距離が間違っていると思われます_x000a_（地積÷間口距離）より大きい数字です！" sqref="P6:Q6">
      <formula1>P3/N6</formula1>
    </dataValidation>
    <dataValidation type="list" allowBlank="1" showInputMessage="1" showErrorMessage="1" sqref="W12:X12">
      <formula1>$AT$12:$AT$23</formula1>
    </dataValidation>
    <dataValidation type="list" allowBlank="1" showInputMessage="1" showErrorMessage="1" sqref="J6:L6">
      <formula1>$AT$40:$AT$46</formula1>
    </dataValidation>
    <dataValidation type="list" allowBlank="1" sqref="J3:L3">
      <formula1>$AT$30:$AT$38</formula1>
    </dataValidation>
    <dataValidation type="list" allowBlank="1" showInputMessage="1" showErrorMessage="1" sqref="I10 J7:J9">
      <formula1>$AT$39:$AT$46</formula1>
    </dataValidation>
    <dataValidation type="list" allowBlank="1" showInputMessage="1" showErrorMessage="1" sqref="E3:F3">
      <formula1>$AT$24:$AT$29</formula1>
    </dataValidation>
    <dataValidation type="list" allowBlank="1" showInputMessage="1" showErrorMessage="1" sqref="R75 R68">
      <formula1>$AT$48:$AT$51</formula1>
    </dataValidation>
    <dataValidation type="list" allowBlank="1" showInputMessage="1" showErrorMessage="1" sqref="AN89">
      <formula1>$AR$89:$AR$98</formula1>
    </dataValidation>
  </dataValidations>
  <printOptions horizontalCentered="1" verticalCentered="1"/>
  <pageMargins left="0.59055118110236227" right="0.23622047244094491" top="0.31496062992125984" bottom="0.19685039370078741" header="0.19685039370078741" footer="0.23622047244094491"/>
  <pageSetup paperSize="9" scale="97"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63" r:id="rId4" name="Check Box 191">
              <controlPr defaultSize="0" autoFill="0" autoLine="0" autoPict="0">
                <anchor moveWithCells="1" sizeWithCells="1">
                  <from>
                    <xdr:col>7</xdr:col>
                    <xdr:colOff>66675</xdr:colOff>
                    <xdr:row>5</xdr:row>
                    <xdr:rowOff>171450</xdr:rowOff>
                  </from>
                  <to>
                    <xdr:col>8</xdr:col>
                    <xdr:colOff>57150</xdr:colOff>
                    <xdr:row>7</xdr:row>
                    <xdr:rowOff>38100</xdr:rowOff>
                  </to>
                </anchor>
              </controlPr>
            </control>
          </mc:Choice>
        </mc:AlternateContent>
        <mc:AlternateContent xmlns:mc="http://schemas.openxmlformats.org/markup-compatibility/2006">
          <mc:Choice Requires="x14">
            <control shapeId="3265" r:id="rId5" name="Check Box 193">
              <controlPr defaultSize="0" autoFill="0" autoLine="0" autoPict="0">
                <anchor moveWithCells="1" sizeWithCells="1">
                  <from>
                    <xdr:col>7</xdr:col>
                    <xdr:colOff>66675</xdr:colOff>
                    <xdr:row>6</xdr:row>
                    <xdr:rowOff>190500</xdr:rowOff>
                  </from>
                  <to>
                    <xdr:col>8</xdr:col>
                    <xdr:colOff>133350</xdr:colOff>
                    <xdr:row>8</xdr:row>
                    <xdr:rowOff>19050</xdr:rowOff>
                  </to>
                </anchor>
              </controlPr>
            </control>
          </mc:Choice>
        </mc:AlternateContent>
        <mc:AlternateContent xmlns:mc="http://schemas.openxmlformats.org/markup-compatibility/2006">
          <mc:Choice Requires="x14">
            <control shapeId="10192" r:id="rId6" name="Check Box 5072">
              <controlPr defaultSize="0" autoFill="0" autoLine="0" autoPict="0">
                <anchor moveWithCells="1" sizeWithCells="1">
                  <from>
                    <xdr:col>14</xdr:col>
                    <xdr:colOff>0</xdr:colOff>
                    <xdr:row>18</xdr:row>
                    <xdr:rowOff>142875</xdr:rowOff>
                  </from>
                  <to>
                    <xdr:col>14</xdr:col>
                    <xdr:colOff>190500</xdr:colOff>
                    <xdr:row>20</xdr:row>
                    <xdr:rowOff>0</xdr:rowOff>
                  </to>
                </anchor>
              </controlPr>
            </control>
          </mc:Choice>
        </mc:AlternateContent>
        <mc:AlternateContent xmlns:mc="http://schemas.openxmlformats.org/markup-compatibility/2006">
          <mc:Choice Requires="x14">
            <control shapeId="10194" r:id="rId7" name="Check Box 5074">
              <controlPr defaultSize="0" autoFill="0" autoLine="0" autoPict="0">
                <anchor moveWithCells="1" sizeWithCells="1">
                  <from>
                    <xdr:col>17</xdr:col>
                    <xdr:colOff>190500</xdr:colOff>
                    <xdr:row>18</xdr:row>
                    <xdr:rowOff>142875</xdr:rowOff>
                  </from>
                  <to>
                    <xdr:col>19</xdr:col>
                    <xdr:colOff>104775</xdr:colOff>
                    <xdr:row>20</xdr:row>
                    <xdr:rowOff>0</xdr:rowOff>
                  </to>
                </anchor>
              </controlPr>
            </control>
          </mc:Choice>
        </mc:AlternateContent>
        <mc:AlternateContent xmlns:mc="http://schemas.openxmlformats.org/markup-compatibility/2006">
          <mc:Choice Requires="x14">
            <control shapeId="10216" r:id="rId8" name="Check Box 5096">
              <controlPr defaultSize="0" autoFill="0" autoLine="0" autoPict="0">
                <anchor moveWithCells="1">
                  <from>
                    <xdr:col>39</xdr:col>
                    <xdr:colOff>133350</xdr:colOff>
                    <xdr:row>53</xdr:row>
                    <xdr:rowOff>123825</xdr:rowOff>
                  </from>
                  <to>
                    <xdr:col>39</xdr:col>
                    <xdr:colOff>342900</xdr:colOff>
                    <xdr:row>55</xdr:row>
                    <xdr:rowOff>9525</xdr:rowOff>
                  </to>
                </anchor>
              </controlPr>
            </control>
          </mc:Choice>
        </mc:AlternateContent>
        <mc:AlternateContent xmlns:mc="http://schemas.openxmlformats.org/markup-compatibility/2006">
          <mc:Choice Requires="x14">
            <control shapeId="10217" r:id="rId9" name="Check Box 5097">
              <controlPr defaultSize="0" autoFill="0" autoLine="0" autoPict="0">
                <anchor moveWithCells="1">
                  <from>
                    <xdr:col>39</xdr:col>
                    <xdr:colOff>133350</xdr:colOff>
                    <xdr:row>55</xdr:row>
                    <xdr:rowOff>9525</xdr:rowOff>
                  </from>
                  <to>
                    <xdr:col>39</xdr:col>
                    <xdr:colOff>342900</xdr:colOff>
                    <xdr:row>56</xdr:row>
                    <xdr:rowOff>0</xdr:rowOff>
                  </to>
                </anchor>
              </controlPr>
            </control>
          </mc:Choice>
        </mc:AlternateContent>
        <mc:AlternateContent xmlns:mc="http://schemas.openxmlformats.org/markup-compatibility/2006">
          <mc:Choice Requires="x14">
            <control shapeId="10222" r:id="rId10" name="Check Box 5102">
              <controlPr defaultSize="0" autoFill="0" autoLine="0" autoPict="0">
                <anchor moveWithCells="1">
                  <from>
                    <xdr:col>41</xdr:col>
                    <xdr:colOff>238125</xdr:colOff>
                    <xdr:row>53</xdr:row>
                    <xdr:rowOff>95250</xdr:rowOff>
                  </from>
                  <to>
                    <xdr:col>43</xdr:col>
                    <xdr:colOff>19050</xdr:colOff>
                    <xdr:row>55</xdr:row>
                    <xdr:rowOff>85725</xdr:rowOff>
                  </to>
                </anchor>
              </controlPr>
            </control>
          </mc:Choice>
        </mc:AlternateContent>
        <mc:AlternateContent xmlns:mc="http://schemas.openxmlformats.org/markup-compatibility/2006">
          <mc:Choice Requires="x14">
            <control shapeId="10225" r:id="rId11" name="Check Box 5105">
              <controlPr defaultSize="0" autoFill="0" autoLine="0" autoPict="0">
                <anchor moveWithCells="1">
                  <from>
                    <xdr:col>41</xdr:col>
                    <xdr:colOff>238125</xdr:colOff>
                    <xdr:row>54</xdr:row>
                    <xdr:rowOff>95250</xdr:rowOff>
                  </from>
                  <to>
                    <xdr:col>43</xdr:col>
                    <xdr:colOff>19050</xdr:colOff>
                    <xdr:row>57</xdr:row>
                    <xdr:rowOff>19050</xdr:rowOff>
                  </to>
                </anchor>
              </controlPr>
            </control>
          </mc:Choice>
        </mc:AlternateContent>
        <mc:AlternateContent xmlns:mc="http://schemas.openxmlformats.org/markup-compatibility/2006">
          <mc:Choice Requires="x14">
            <control shapeId="10226" r:id="rId12" name="Check Box 5106">
              <controlPr defaultSize="0" autoFill="0" autoLine="0" autoPict="0">
                <anchor moveWithCells="1">
                  <from>
                    <xdr:col>41</xdr:col>
                    <xdr:colOff>238125</xdr:colOff>
                    <xdr:row>55</xdr:row>
                    <xdr:rowOff>114300</xdr:rowOff>
                  </from>
                  <to>
                    <xdr:col>43</xdr:col>
                    <xdr:colOff>19050</xdr:colOff>
                    <xdr:row>58</xdr:row>
                    <xdr:rowOff>38100</xdr:rowOff>
                  </to>
                </anchor>
              </controlPr>
            </control>
          </mc:Choice>
        </mc:AlternateContent>
        <mc:AlternateContent xmlns:mc="http://schemas.openxmlformats.org/markup-compatibility/2006">
          <mc:Choice Requires="x14">
            <control shapeId="10227" r:id="rId13" name="Check Box 5107">
              <controlPr defaultSize="0" autoFill="0" autoLine="0" autoPict="0">
                <anchor moveWithCells="1">
                  <from>
                    <xdr:col>41</xdr:col>
                    <xdr:colOff>238125</xdr:colOff>
                    <xdr:row>57</xdr:row>
                    <xdr:rowOff>57150</xdr:rowOff>
                  </from>
                  <to>
                    <xdr:col>43</xdr:col>
                    <xdr:colOff>19050</xdr:colOff>
                    <xdr:row>59</xdr:row>
                    <xdr:rowOff>57150</xdr:rowOff>
                  </to>
                </anchor>
              </controlPr>
            </control>
          </mc:Choice>
        </mc:AlternateContent>
        <mc:AlternateContent xmlns:mc="http://schemas.openxmlformats.org/markup-compatibility/2006">
          <mc:Choice Requires="x14">
            <control shapeId="10228" r:id="rId14" name="Check Box 5108">
              <controlPr defaultSize="0" autoFill="0" autoLine="0" autoPict="0">
                <anchor moveWithCells="1">
                  <from>
                    <xdr:col>41</xdr:col>
                    <xdr:colOff>238125</xdr:colOff>
                    <xdr:row>58</xdr:row>
                    <xdr:rowOff>66675</xdr:rowOff>
                  </from>
                  <to>
                    <xdr:col>43</xdr:col>
                    <xdr:colOff>19050</xdr:colOff>
                    <xdr:row>61</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pageSetUpPr fitToPage="1"/>
  </sheetPr>
  <dimension ref="B1:AD63"/>
  <sheetViews>
    <sheetView showGridLines="0" showRowColHeaders="0" zoomScale="140" zoomScaleNormal="140" zoomScaleSheetLayoutView="100" workbookViewId="0">
      <selection activeCell="O3" sqref="O3:Q3"/>
    </sheetView>
  </sheetViews>
  <sheetFormatPr defaultColWidth="9" defaultRowHeight="18" customHeight="1"/>
  <cols>
    <col min="1" max="1" width="0.875" style="31" customWidth="1"/>
    <col min="2" max="3" width="3.125" style="31" customWidth="1"/>
    <col min="4" max="6" width="2.375" style="31" customWidth="1"/>
    <col min="7" max="7" width="3.625" style="31" customWidth="1"/>
    <col min="8" max="8" width="4.625" style="31" customWidth="1"/>
    <col min="9" max="10" width="3.625" style="31" customWidth="1"/>
    <col min="11" max="11" width="5.125" style="31" customWidth="1"/>
    <col min="12" max="12" width="4.625" style="31" customWidth="1"/>
    <col min="13" max="13" width="2.625" style="31" customWidth="1"/>
    <col min="14" max="14" width="4.125" style="31" customWidth="1"/>
    <col min="15" max="15" width="3.125" style="31" customWidth="1"/>
    <col min="16" max="16" width="2.125" style="31" customWidth="1"/>
    <col min="17" max="17" width="2.625" style="31" customWidth="1"/>
    <col min="18" max="18" width="1.875" style="31" customWidth="1"/>
    <col min="19" max="19" width="2.875" style="31" customWidth="1"/>
    <col min="20" max="20" width="1.625" style="31" customWidth="1"/>
    <col min="21" max="21" width="2.375" style="31" customWidth="1"/>
    <col min="22" max="22" width="2.125" style="31" customWidth="1"/>
    <col min="23" max="23" width="16.375" style="31" customWidth="1"/>
    <col min="24" max="24" width="2.625" style="31" customWidth="1"/>
    <col min="25" max="25" width="3.75" style="31" customWidth="1"/>
    <col min="26" max="26" width="3.625" style="31" customWidth="1"/>
    <col min="27" max="30" width="8.25" style="31" customWidth="1"/>
    <col min="31" max="16384" width="9" style="31"/>
  </cols>
  <sheetData>
    <row r="1" spans="2:30" ht="23.25" customHeight="1">
      <c r="B1" s="614" t="s">
        <v>369</v>
      </c>
      <c r="C1" s="614"/>
      <c r="D1" s="614"/>
      <c r="E1" s="614"/>
      <c r="F1" s="614"/>
      <c r="G1" s="614"/>
      <c r="H1" s="614"/>
      <c r="I1" s="614"/>
      <c r="J1" s="614"/>
      <c r="K1" s="614"/>
      <c r="L1" s="614"/>
      <c r="M1" s="614"/>
      <c r="N1" s="614"/>
      <c r="O1" s="614"/>
      <c r="P1" s="614"/>
      <c r="Q1" s="614"/>
      <c r="R1" s="614"/>
      <c r="S1" s="614"/>
      <c r="T1" s="614"/>
      <c r="U1" s="614"/>
      <c r="V1" s="614"/>
      <c r="W1" s="614"/>
      <c r="X1" s="614"/>
      <c r="Y1" s="614"/>
      <c r="Z1" s="30"/>
    </row>
    <row r="2" spans="2:30" ht="12" customHeight="1">
      <c r="B2" s="631" t="s">
        <v>212</v>
      </c>
      <c r="C2" s="631"/>
      <c r="D2" s="631"/>
      <c r="E2" s="632"/>
      <c r="F2" s="347" t="s">
        <v>16</v>
      </c>
      <c r="G2" s="347"/>
      <c r="H2" s="347"/>
      <c r="I2" s="347"/>
      <c r="J2" s="347" t="s">
        <v>16</v>
      </c>
      <c r="K2" s="347"/>
      <c r="L2" s="347"/>
      <c r="M2" s="11"/>
      <c r="N2" s="11"/>
      <c r="O2" s="577" t="s">
        <v>18</v>
      </c>
      <c r="P2" s="577"/>
      <c r="Q2" s="577"/>
      <c r="R2" s="577"/>
      <c r="S2" s="11"/>
      <c r="T2" s="11"/>
      <c r="U2" s="11"/>
      <c r="V2" s="8"/>
      <c r="W2" s="11" t="s">
        <v>16</v>
      </c>
      <c r="X2" s="8" t="s">
        <v>2</v>
      </c>
      <c r="Y2" s="444" t="s">
        <v>141</v>
      </c>
      <c r="Z2" s="185"/>
    </row>
    <row r="3" spans="2:30" ht="9" customHeight="1">
      <c r="B3" s="631"/>
      <c r="C3" s="631"/>
      <c r="D3" s="631"/>
      <c r="E3" s="632"/>
      <c r="F3" s="580">
        <f>IF(O3="","",価額Ｍ)</f>
        <v>116401500</v>
      </c>
      <c r="G3" s="580"/>
      <c r="H3" s="580"/>
      <c r="I3" s="347" t="s">
        <v>214</v>
      </c>
      <c r="J3" s="580">
        <f>IF(O3="","",F3)</f>
        <v>116401500</v>
      </c>
      <c r="K3" s="580"/>
      <c r="L3" s="580"/>
      <c r="M3" s="347" t="s">
        <v>17</v>
      </c>
      <c r="N3" s="347"/>
      <c r="O3" s="626">
        <v>20</v>
      </c>
      <c r="P3" s="626"/>
      <c r="Q3" s="626"/>
      <c r="R3" s="11" t="s">
        <v>164</v>
      </c>
      <c r="S3" s="347" t="s">
        <v>215</v>
      </c>
      <c r="T3" s="347"/>
      <c r="U3" s="347"/>
      <c r="V3" s="8"/>
      <c r="W3" s="629">
        <f>IF(O3="","",F3-(J3*O3/O5*0.7))</f>
        <v>114952948</v>
      </c>
      <c r="X3" s="8"/>
      <c r="Y3" s="444"/>
      <c r="Z3" s="567" t="s">
        <v>495</v>
      </c>
    </row>
    <row r="4" spans="2:30" ht="8.1" customHeight="1">
      <c r="B4" s="631"/>
      <c r="C4" s="631"/>
      <c r="D4" s="631"/>
      <c r="E4" s="632"/>
      <c r="F4" s="580"/>
      <c r="G4" s="580"/>
      <c r="H4" s="580"/>
      <c r="I4" s="347"/>
      <c r="J4" s="580"/>
      <c r="K4" s="580"/>
      <c r="L4" s="580"/>
      <c r="M4" s="347"/>
      <c r="N4" s="347"/>
      <c r="O4" s="579" t="s">
        <v>3</v>
      </c>
      <c r="P4" s="579"/>
      <c r="Q4" s="579"/>
      <c r="R4" s="579"/>
      <c r="S4" s="347"/>
      <c r="T4" s="347"/>
      <c r="U4" s="347"/>
      <c r="V4" s="8"/>
      <c r="W4" s="629"/>
      <c r="X4" s="8"/>
      <c r="Y4" s="444"/>
      <c r="Z4" s="567"/>
      <c r="AA4" s="582" t="s">
        <v>286</v>
      </c>
      <c r="AB4" s="583"/>
      <c r="AC4" s="583"/>
      <c r="AD4" s="584"/>
    </row>
    <row r="5" spans="2:30" ht="10.5" customHeight="1">
      <c r="B5" s="633"/>
      <c r="C5" s="633"/>
      <c r="D5" s="633"/>
      <c r="E5" s="634"/>
      <c r="F5" s="581"/>
      <c r="G5" s="581"/>
      <c r="H5" s="581"/>
      <c r="I5" s="576"/>
      <c r="J5" s="581"/>
      <c r="K5" s="581"/>
      <c r="L5" s="581"/>
      <c r="M5" s="576"/>
      <c r="N5" s="576"/>
      <c r="O5" s="578">
        <f>IF(O3="","",土地の評価明細書１!H19)</f>
        <v>1125</v>
      </c>
      <c r="P5" s="578"/>
      <c r="Q5" s="578"/>
      <c r="R5" s="9" t="s">
        <v>119</v>
      </c>
      <c r="S5" s="576"/>
      <c r="T5" s="576"/>
      <c r="U5" s="576"/>
      <c r="V5" s="10"/>
      <c r="W5" s="630"/>
      <c r="X5" s="10"/>
      <c r="Y5" s="596"/>
      <c r="Z5" s="567"/>
      <c r="AA5" s="585"/>
      <c r="AB5" s="586"/>
      <c r="AC5" s="586"/>
      <c r="AD5" s="587"/>
    </row>
    <row r="6" spans="2:30" ht="17.25" customHeight="1">
      <c r="B6" s="612" t="s">
        <v>213</v>
      </c>
      <c r="C6" s="612"/>
      <c r="D6" s="612"/>
      <c r="E6" s="613"/>
      <c r="F6" s="347" t="s">
        <v>16</v>
      </c>
      <c r="G6" s="347"/>
      <c r="H6" s="347"/>
      <c r="I6" s="347"/>
      <c r="J6" s="11"/>
      <c r="K6" s="11"/>
      <c r="L6" s="347" t="s">
        <v>4</v>
      </c>
      <c r="M6" s="347"/>
      <c r="N6" s="347"/>
      <c r="O6" s="11"/>
      <c r="P6" s="11"/>
      <c r="Q6" s="11"/>
      <c r="R6" s="11"/>
      <c r="S6" s="11"/>
      <c r="T6" s="11"/>
      <c r="U6" s="11"/>
      <c r="V6" s="8"/>
      <c r="W6" s="11" t="s">
        <v>16</v>
      </c>
      <c r="X6" s="8" t="s">
        <v>2</v>
      </c>
      <c r="Y6" s="444" t="s">
        <v>163</v>
      </c>
      <c r="Z6" s="567"/>
      <c r="AA6" s="141" t="s">
        <v>277</v>
      </c>
      <c r="AB6" s="156" t="s">
        <v>278</v>
      </c>
      <c r="AC6" s="165" t="s">
        <v>279</v>
      </c>
      <c r="AD6" s="165" t="s">
        <v>59</v>
      </c>
    </row>
    <row r="7" spans="2:30" ht="23.25" customHeight="1">
      <c r="B7" s="612"/>
      <c r="C7" s="612"/>
      <c r="D7" s="612"/>
      <c r="E7" s="613"/>
      <c r="F7" s="413">
        <f>IF(AB7="","",MIN(価額Ｍ,価額Ｎ))</f>
        <v>114952948</v>
      </c>
      <c r="G7" s="413"/>
      <c r="H7" s="413"/>
      <c r="I7" s="413"/>
      <c r="J7" s="560" t="s">
        <v>224</v>
      </c>
      <c r="K7" s="560"/>
      <c r="L7" s="628">
        <f>IF(都計道路地積="","",IF(OR(AD7=1,AD7=2),INDEX(補正率表!C107:D109,MATCH(都計地積割合,補正率表!A107:A109,1),MATCH(容積率,補正率表!C106:D106,1)),IF(OR(AD7=3,AD7=4),INDEX(補正率表!E107:H109,MATCH(都計地積割合,補正率表!A107:A109,1),MATCH(容積率,補正率表!E106:H106,1)),INDEX(補正率表!I107:K109,MATCH(都計地積割合,補正率表!A107:A109,1),MATCH(容積率,補正率表!I106:K106,1)))))</f>
        <v>0.94</v>
      </c>
      <c r="M7" s="628"/>
      <c r="N7" s="628"/>
      <c r="O7" s="11"/>
      <c r="P7" s="11"/>
      <c r="Q7" s="11"/>
      <c r="R7" s="11"/>
      <c r="S7" s="11"/>
      <c r="T7" s="11"/>
      <c r="U7" s="11"/>
      <c r="V7" s="8"/>
      <c r="W7" s="138">
        <f>IF(AB7="","",ROUNDDOWN(F7*L7,0))</f>
        <v>108055771</v>
      </c>
      <c r="X7" s="8"/>
      <c r="Y7" s="444"/>
      <c r="Z7" s="567"/>
      <c r="AA7" s="242">
        <v>311</v>
      </c>
      <c r="AB7" s="243">
        <v>100</v>
      </c>
      <c r="AC7" s="142">
        <f>IF(AB7="","",AB7/土地の評価明細書１!H19)</f>
        <v>8.8888888888888892E-2</v>
      </c>
      <c r="AD7" s="143">
        <f>土地の評価明細書１!M6</f>
        <v>4</v>
      </c>
    </row>
    <row r="8" spans="2:30" ht="5.0999999999999996" customHeight="1">
      <c r="B8" s="32"/>
      <c r="C8" s="32"/>
      <c r="D8" s="32"/>
      <c r="E8" s="32"/>
      <c r="F8" s="32"/>
      <c r="G8" s="32"/>
      <c r="H8" s="32"/>
      <c r="I8" s="32"/>
      <c r="J8" s="32"/>
      <c r="K8" s="32"/>
      <c r="L8" s="32"/>
      <c r="M8" s="32"/>
      <c r="N8" s="32"/>
      <c r="O8" s="32"/>
      <c r="P8" s="32"/>
      <c r="Q8" s="32"/>
      <c r="R8" s="32"/>
      <c r="S8" s="32"/>
      <c r="T8" s="32"/>
      <c r="U8" s="32"/>
      <c r="V8" s="32"/>
      <c r="W8" s="32"/>
      <c r="X8" s="32"/>
      <c r="Y8" s="125"/>
      <c r="Z8" s="567"/>
    </row>
    <row r="9" spans="2:30" s="34" customFormat="1" ht="12" customHeight="1">
      <c r="B9" s="573" t="s">
        <v>24</v>
      </c>
      <c r="C9" s="615" t="s">
        <v>0</v>
      </c>
      <c r="D9" s="616" t="s">
        <v>25</v>
      </c>
      <c r="E9" s="617"/>
      <c r="F9" s="617"/>
      <c r="G9" s="617"/>
      <c r="H9" s="617"/>
      <c r="I9" s="617"/>
      <c r="J9" s="35"/>
      <c r="K9" s="35"/>
      <c r="L9" s="35"/>
      <c r="M9" s="35"/>
      <c r="N9" s="35"/>
      <c r="O9" s="35"/>
      <c r="P9" s="35"/>
      <c r="Q9" s="35"/>
      <c r="R9" s="35"/>
      <c r="S9" s="35"/>
      <c r="T9" s="35"/>
      <c r="U9" s="35"/>
      <c r="V9" s="40"/>
      <c r="W9" s="446" t="str">
        <f>IF(AB11=FALSE,"",IF(土地の評価明細書１!H19&gt;=200000,ROUNDDOWN(D11*I11*M11,0),ROUNDDOWN(D11*I11,0)))</f>
        <v/>
      </c>
      <c r="X9" s="12" t="s">
        <v>2</v>
      </c>
      <c r="Y9" s="716" t="s">
        <v>494</v>
      </c>
      <c r="Z9" s="567"/>
    </row>
    <row r="10" spans="2:30" s="34" customFormat="1" ht="12" customHeight="1">
      <c r="B10" s="573"/>
      <c r="C10" s="615"/>
      <c r="D10" s="620" t="s">
        <v>5</v>
      </c>
      <c r="E10" s="347"/>
      <c r="F10" s="347"/>
      <c r="G10" s="347"/>
      <c r="H10" s="35"/>
      <c r="I10" s="621" t="s">
        <v>26</v>
      </c>
      <c r="J10" s="621"/>
      <c r="K10" s="621"/>
      <c r="L10" s="35"/>
      <c r="M10" s="347" t="s">
        <v>7</v>
      </c>
      <c r="N10" s="347"/>
      <c r="O10" s="347"/>
      <c r="P10" s="347"/>
      <c r="Q10" s="347"/>
      <c r="R10" s="347"/>
      <c r="S10" s="347"/>
      <c r="T10" s="347"/>
      <c r="U10" s="347"/>
      <c r="V10" s="12"/>
      <c r="W10" s="446"/>
      <c r="X10" s="12"/>
      <c r="Y10" s="716"/>
      <c r="Z10" s="567"/>
      <c r="AA10" s="160" t="s">
        <v>296</v>
      </c>
      <c r="AB10" s="31"/>
    </row>
    <row r="11" spans="2:30" s="34" customFormat="1" ht="15" customHeight="1">
      <c r="B11" s="573"/>
      <c r="C11" s="615"/>
      <c r="D11" s="590" t="str">
        <f>IF(AB11=FALSE,"",正面路線価)</f>
        <v/>
      </c>
      <c r="E11" s="591"/>
      <c r="F11" s="591"/>
      <c r="G11" s="591"/>
      <c r="H11" s="36" t="s">
        <v>6</v>
      </c>
      <c r="I11" s="625" t="str">
        <f>IF(AB11=FALSE,"",IF(土地の評価明細書１!AM87="",土地の評価明細書１!S86,土地の評価明細書１!AM87))</f>
        <v/>
      </c>
      <c r="J11" s="625"/>
      <c r="K11" s="625"/>
      <c r="L11" s="36" t="s">
        <v>8</v>
      </c>
      <c r="M11" s="627" t="str">
        <f>IF(AB11=FALSE,"",IF(土地の評価明細書１!H19&gt;=200000,0.95,""))</f>
        <v/>
      </c>
      <c r="N11" s="627"/>
      <c r="O11" s="627"/>
      <c r="P11" s="627"/>
      <c r="Q11" s="627"/>
      <c r="R11" s="627"/>
      <c r="S11" s="627"/>
      <c r="T11" s="37"/>
      <c r="U11" s="37"/>
      <c r="V11" s="38"/>
      <c r="W11" s="618"/>
      <c r="X11" s="39"/>
      <c r="Y11" s="607"/>
      <c r="Z11" s="567"/>
      <c r="AA11" s="244"/>
      <c r="AB11" s="128" t="b">
        <v>0</v>
      </c>
    </row>
    <row r="12" spans="2:30" s="34" customFormat="1" ht="12" customHeight="1">
      <c r="B12" s="573"/>
      <c r="C12" s="615"/>
      <c r="D12" s="603" t="s">
        <v>9</v>
      </c>
      <c r="E12" s="604"/>
      <c r="F12" s="604"/>
      <c r="G12" s="604"/>
      <c r="H12" s="604"/>
      <c r="I12" s="604"/>
      <c r="J12" s="35"/>
      <c r="K12" s="35"/>
      <c r="L12" s="35"/>
      <c r="M12" s="605" t="s">
        <v>92</v>
      </c>
      <c r="N12" s="347" t="s">
        <v>10</v>
      </c>
      <c r="O12" s="347"/>
      <c r="P12" s="347"/>
      <c r="Q12" s="623" t="s">
        <v>142</v>
      </c>
      <c r="R12" s="35"/>
      <c r="S12" s="35"/>
      <c r="T12" s="35"/>
      <c r="U12" s="35"/>
      <c r="V12" s="40"/>
      <c r="W12" s="601"/>
      <c r="X12" s="12" t="s">
        <v>2</v>
      </c>
      <c r="Y12" s="717" t="s">
        <v>143</v>
      </c>
      <c r="Z12" s="567"/>
    </row>
    <row r="13" spans="2:30" s="34" customFormat="1" ht="12" customHeight="1">
      <c r="B13" s="573"/>
      <c r="C13" s="615"/>
      <c r="D13" s="622" t="s">
        <v>11</v>
      </c>
      <c r="E13" s="482"/>
      <c r="F13" s="482"/>
      <c r="G13" s="482"/>
      <c r="H13" s="482"/>
      <c r="I13" s="347" t="s">
        <v>26</v>
      </c>
      <c r="J13" s="347"/>
      <c r="K13" s="35"/>
      <c r="L13" s="35"/>
      <c r="M13" s="606"/>
      <c r="N13" s="347" t="s">
        <v>12</v>
      </c>
      <c r="O13" s="347"/>
      <c r="P13" s="347"/>
      <c r="Q13" s="624"/>
      <c r="R13" s="599" t="s">
        <v>26</v>
      </c>
      <c r="S13" s="599"/>
      <c r="T13" s="599"/>
      <c r="U13" s="35"/>
      <c r="V13" s="40"/>
      <c r="W13" s="602"/>
      <c r="X13" s="12"/>
      <c r="Y13" s="716"/>
      <c r="Z13" s="567"/>
    </row>
    <row r="14" spans="2:30" s="34" customFormat="1" ht="15" customHeight="1">
      <c r="B14" s="573"/>
      <c r="C14" s="615"/>
      <c r="D14" s="126" t="s">
        <v>120</v>
      </c>
      <c r="E14" s="619"/>
      <c r="F14" s="619"/>
      <c r="G14" s="619"/>
      <c r="H14" s="57" t="s">
        <v>6</v>
      </c>
      <c r="I14" s="610"/>
      <c r="J14" s="610"/>
      <c r="K14" s="599" t="s">
        <v>13</v>
      </c>
      <c r="L14" s="599"/>
      <c r="M14" s="611"/>
      <c r="N14" s="611"/>
      <c r="O14" s="611"/>
      <c r="P14" s="599" t="s">
        <v>6</v>
      </c>
      <c r="Q14" s="599"/>
      <c r="R14" s="610"/>
      <c r="S14" s="610"/>
      <c r="T14" s="610"/>
      <c r="U14" s="23" t="s">
        <v>14</v>
      </c>
      <c r="V14" s="47"/>
      <c r="W14" s="602"/>
      <c r="X14" s="23"/>
      <c r="Y14" s="716"/>
      <c r="Z14" s="567"/>
    </row>
    <row r="15" spans="2:30" s="34" customFormat="1" ht="5.0999999999999996" customHeight="1">
      <c r="B15" s="41"/>
      <c r="C15" s="42"/>
      <c r="D15" s="25"/>
      <c r="E15" s="25"/>
      <c r="F15" s="43"/>
      <c r="G15" s="43"/>
      <c r="H15" s="25"/>
      <c r="I15" s="25"/>
      <c r="J15" s="35"/>
      <c r="K15" s="25"/>
      <c r="L15" s="25"/>
      <c r="M15" s="35"/>
      <c r="N15" s="35"/>
      <c r="O15" s="35"/>
      <c r="P15" s="35"/>
      <c r="Q15" s="35"/>
      <c r="R15" s="25"/>
      <c r="S15" s="35"/>
      <c r="T15" s="35"/>
      <c r="U15" s="25"/>
      <c r="V15" s="25"/>
      <c r="W15" s="35"/>
      <c r="X15" s="23"/>
      <c r="Y15" s="104"/>
      <c r="Z15" s="272"/>
    </row>
    <row r="16" spans="2:30" s="34" customFormat="1" ht="14.1" customHeight="1">
      <c r="B16" s="573" t="s">
        <v>15</v>
      </c>
      <c r="C16" s="573"/>
      <c r="D16" s="637" t="s">
        <v>1</v>
      </c>
      <c r="E16" s="576"/>
      <c r="F16" s="638"/>
      <c r="G16" s="639" t="s">
        <v>27</v>
      </c>
      <c r="H16" s="640"/>
      <c r="I16" s="640"/>
      <c r="J16" s="640"/>
      <c r="K16" s="640"/>
      <c r="L16" s="640"/>
      <c r="M16" s="640"/>
      <c r="N16" s="640"/>
      <c r="O16" s="640"/>
      <c r="P16" s="640"/>
      <c r="Q16" s="640"/>
      <c r="R16" s="640"/>
      <c r="S16" s="640"/>
      <c r="T16" s="640"/>
      <c r="U16" s="641"/>
      <c r="V16" s="127"/>
      <c r="W16" s="607" t="s">
        <v>28</v>
      </c>
      <c r="X16" s="608"/>
      <c r="Y16" s="230" t="s">
        <v>29</v>
      </c>
      <c r="Z16" s="272"/>
    </row>
    <row r="17" spans="2:26" s="34" customFormat="1" ht="11.1" customHeight="1">
      <c r="B17" s="573"/>
      <c r="C17" s="573"/>
      <c r="D17" s="642" t="s">
        <v>30</v>
      </c>
      <c r="E17" s="643"/>
      <c r="F17" s="644"/>
      <c r="G17" s="594" t="s">
        <v>31</v>
      </c>
      <c r="H17" s="595"/>
      <c r="I17" s="595"/>
      <c r="J17" s="14"/>
      <c r="K17" s="14"/>
      <c r="L17" s="597" t="s">
        <v>32</v>
      </c>
      <c r="M17" s="597"/>
      <c r="N17" s="597"/>
      <c r="O17" s="597"/>
      <c r="P17" s="18"/>
      <c r="Q17" s="18"/>
      <c r="R17" s="18"/>
      <c r="S17" s="18"/>
      <c r="T17" s="18"/>
      <c r="U17" s="18"/>
      <c r="V17" s="45"/>
      <c r="W17" s="651" t="str">
        <f>IF(利用区分=2,ROUNDDOWN(G19*(1-L19),0),"")</f>
        <v/>
      </c>
      <c r="X17" s="45" t="s">
        <v>2</v>
      </c>
      <c r="Y17" s="717" t="s">
        <v>145</v>
      </c>
      <c r="Z17" s="272"/>
    </row>
    <row r="18" spans="2:26" s="34" customFormat="1" ht="9" customHeight="1">
      <c r="B18" s="573"/>
      <c r="C18" s="573"/>
      <c r="D18" s="645"/>
      <c r="E18" s="646"/>
      <c r="F18" s="647"/>
      <c r="G18" s="604"/>
      <c r="H18" s="604"/>
      <c r="I18" s="604"/>
      <c r="J18" s="604"/>
      <c r="K18" s="604"/>
      <c r="L18" s="604"/>
      <c r="M18" s="604"/>
      <c r="N18" s="604"/>
      <c r="O18" s="604"/>
      <c r="P18" s="604"/>
      <c r="Q18" s="604"/>
      <c r="R18" s="604"/>
      <c r="S18" s="604"/>
      <c r="T18" s="604"/>
      <c r="U18" s="604"/>
      <c r="V18" s="47"/>
      <c r="W18" s="652"/>
      <c r="X18" s="12"/>
      <c r="Y18" s="716"/>
    </row>
    <row r="19" spans="2:26" s="34" customFormat="1" ht="19.5" customHeight="1">
      <c r="B19" s="573"/>
      <c r="C19" s="573"/>
      <c r="D19" s="648"/>
      <c r="E19" s="649"/>
      <c r="F19" s="650"/>
      <c r="G19" s="591" t="str">
        <f>IF(利用区分=2,IF(AB11=FALSE,MIN(価額Ｍ,価額Ｎ,価額Ｏ),価額Ｐ),"")</f>
        <v/>
      </c>
      <c r="H19" s="591"/>
      <c r="I19" s="591"/>
      <c r="J19" s="600" t="s">
        <v>211</v>
      </c>
      <c r="K19" s="600"/>
      <c r="L19" s="657"/>
      <c r="M19" s="657"/>
      <c r="N19" s="657"/>
      <c r="O19" s="36" t="s">
        <v>107</v>
      </c>
      <c r="P19" s="26"/>
      <c r="Q19" s="26"/>
      <c r="R19" s="26"/>
      <c r="S19" s="26"/>
      <c r="T19" s="26"/>
      <c r="U19" s="26"/>
      <c r="V19" s="48"/>
      <c r="W19" s="653"/>
      <c r="X19" s="39"/>
      <c r="Y19" s="607"/>
    </row>
    <row r="20" spans="2:26" s="34" customFormat="1" ht="16.5" customHeight="1">
      <c r="B20" s="573"/>
      <c r="C20" s="573"/>
      <c r="D20" s="658" t="s">
        <v>33</v>
      </c>
      <c r="E20" s="659"/>
      <c r="F20" s="660"/>
      <c r="G20" s="598" t="s">
        <v>503</v>
      </c>
      <c r="H20" s="599"/>
      <c r="I20" s="599"/>
      <c r="J20" s="599"/>
      <c r="K20" s="599"/>
      <c r="L20" s="597" t="s">
        <v>216</v>
      </c>
      <c r="M20" s="597"/>
      <c r="N20" s="597"/>
      <c r="O20" s="597"/>
      <c r="P20" s="597"/>
      <c r="Q20" s="597"/>
      <c r="R20" s="597"/>
      <c r="S20" s="597"/>
      <c r="T20" s="597"/>
      <c r="U20" s="597"/>
      <c r="V20" s="666"/>
      <c r="W20" s="652">
        <f>IF(利用区分=3,ROUNDDOWN(G21*(1-L21*O21*R21/R22),0),"")</f>
        <v>88605732</v>
      </c>
      <c r="X20" s="12" t="s">
        <v>2</v>
      </c>
      <c r="Y20" s="717" t="s">
        <v>149</v>
      </c>
    </row>
    <row r="21" spans="2:26" s="34" customFormat="1" ht="11.1" customHeight="1">
      <c r="B21" s="573"/>
      <c r="C21" s="573"/>
      <c r="D21" s="658"/>
      <c r="E21" s="659"/>
      <c r="F21" s="660"/>
      <c r="G21" s="589">
        <f>IF(利用区分=3,IF(AB11=FALSE,MIN(価額Ｍ,価額Ｎ,価額Ｏ),価額Ｐ),"")</f>
        <v>108055771</v>
      </c>
      <c r="H21" s="363"/>
      <c r="I21" s="363"/>
      <c r="J21" s="560" t="s">
        <v>211</v>
      </c>
      <c r="K21" s="560"/>
      <c r="L21" s="655">
        <v>0.6</v>
      </c>
      <c r="M21" s="655"/>
      <c r="N21" s="560" t="s">
        <v>209</v>
      </c>
      <c r="O21" s="664">
        <v>0.3</v>
      </c>
      <c r="P21" s="664"/>
      <c r="Q21" s="347" t="s">
        <v>106</v>
      </c>
      <c r="R21" s="635">
        <v>500</v>
      </c>
      <c r="S21" s="635"/>
      <c r="T21" s="635"/>
      <c r="U21" s="23" t="s">
        <v>140</v>
      </c>
      <c r="V21" s="654" t="s">
        <v>144</v>
      </c>
      <c r="W21" s="652"/>
      <c r="X21" s="12"/>
      <c r="Y21" s="716"/>
      <c r="Z21" s="49"/>
    </row>
    <row r="22" spans="2:26" s="34" customFormat="1" ht="12.75" customHeight="1">
      <c r="B22" s="573"/>
      <c r="C22" s="573"/>
      <c r="D22" s="661"/>
      <c r="E22" s="662"/>
      <c r="F22" s="663"/>
      <c r="G22" s="589"/>
      <c r="H22" s="363"/>
      <c r="I22" s="363"/>
      <c r="J22" s="600"/>
      <c r="K22" s="600"/>
      <c r="L22" s="656"/>
      <c r="M22" s="656"/>
      <c r="N22" s="600"/>
      <c r="O22" s="665"/>
      <c r="P22" s="665"/>
      <c r="Q22" s="347"/>
      <c r="R22" s="609">
        <v>500</v>
      </c>
      <c r="S22" s="609"/>
      <c r="T22" s="609"/>
      <c r="U22" s="23" t="s">
        <v>140</v>
      </c>
      <c r="V22" s="654"/>
      <c r="W22" s="653"/>
      <c r="X22" s="39"/>
      <c r="Y22" s="607"/>
      <c r="Z22" s="49"/>
    </row>
    <row r="23" spans="2:26" s="34" customFormat="1" ht="9" customHeight="1">
      <c r="B23" s="573"/>
      <c r="C23" s="573"/>
      <c r="D23" s="44" t="s">
        <v>146</v>
      </c>
      <c r="E23" s="636" t="s">
        <v>147</v>
      </c>
      <c r="F23" s="636" t="s">
        <v>19</v>
      </c>
      <c r="G23" s="594" t="s">
        <v>148</v>
      </c>
      <c r="H23" s="595"/>
      <c r="I23" s="595"/>
      <c r="J23" s="595"/>
      <c r="K23" s="680" t="s">
        <v>155</v>
      </c>
      <c r="L23" s="678"/>
      <c r="M23" s="678"/>
      <c r="N23" s="595" t="s">
        <v>20</v>
      </c>
      <c r="O23" s="595"/>
      <c r="P23" s="50"/>
      <c r="Q23" s="50"/>
      <c r="R23" s="50"/>
      <c r="S23" s="50"/>
      <c r="T23" s="50"/>
      <c r="U23" s="50"/>
      <c r="V23" s="51"/>
      <c r="W23" s="667"/>
      <c r="X23" s="45" t="s">
        <v>2</v>
      </c>
      <c r="Y23" s="669" t="s">
        <v>151</v>
      </c>
      <c r="Z23" s="49"/>
    </row>
    <row r="24" spans="2:26" s="34" customFormat="1" ht="7.5" customHeight="1">
      <c r="B24" s="573"/>
      <c r="C24" s="573"/>
      <c r="D24" s="670"/>
      <c r="E24" s="573"/>
      <c r="F24" s="573"/>
      <c r="G24" s="620"/>
      <c r="H24" s="347"/>
      <c r="I24" s="347"/>
      <c r="J24" s="347"/>
      <c r="K24" s="681"/>
      <c r="L24" s="679"/>
      <c r="M24" s="679"/>
      <c r="N24" s="347"/>
      <c r="O24" s="347"/>
      <c r="P24" s="25"/>
      <c r="Q24" s="25"/>
      <c r="R24" s="25"/>
      <c r="S24" s="25"/>
      <c r="T24" s="25"/>
      <c r="U24" s="25"/>
      <c r="V24" s="47"/>
      <c r="W24" s="602"/>
      <c r="X24" s="12"/>
      <c r="Y24" s="444"/>
      <c r="Z24" s="49"/>
    </row>
    <row r="25" spans="2:26" s="34" customFormat="1" ht="12" customHeight="1">
      <c r="B25" s="573"/>
      <c r="C25" s="573"/>
      <c r="D25" s="670"/>
      <c r="E25" s="573"/>
      <c r="F25" s="573"/>
      <c r="G25" s="603"/>
      <c r="H25" s="604"/>
      <c r="I25" s="604"/>
      <c r="J25" s="604"/>
      <c r="K25" s="604"/>
      <c r="L25" s="604"/>
      <c r="M25" s="604"/>
      <c r="N25" s="604"/>
      <c r="O25" s="604"/>
      <c r="P25" s="604"/>
      <c r="Q25" s="604"/>
      <c r="R25" s="604"/>
      <c r="S25" s="604"/>
      <c r="T25" s="604"/>
      <c r="U25" s="604"/>
      <c r="V25" s="671"/>
      <c r="W25" s="602"/>
      <c r="X25" s="12"/>
      <c r="Y25" s="444"/>
      <c r="Z25" s="49"/>
    </row>
    <row r="26" spans="2:26" s="34" customFormat="1" ht="8.1" customHeight="1">
      <c r="B26" s="573"/>
      <c r="C26" s="573"/>
      <c r="D26" s="46" t="s">
        <v>107</v>
      </c>
      <c r="E26" s="573"/>
      <c r="F26" s="573"/>
      <c r="G26" s="603"/>
      <c r="H26" s="604"/>
      <c r="I26" s="604"/>
      <c r="J26" s="604"/>
      <c r="K26" s="604"/>
      <c r="L26" s="604"/>
      <c r="M26" s="604"/>
      <c r="N26" s="604"/>
      <c r="O26" s="604"/>
      <c r="P26" s="604"/>
      <c r="Q26" s="604"/>
      <c r="R26" s="604"/>
      <c r="S26" s="604"/>
      <c r="T26" s="604"/>
      <c r="U26" s="604"/>
      <c r="V26" s="671"/>
      <c r="W26" s="602"/>
      <c r="X26" s="12"/>
      <c r="Y26" s="444"/>
      <c r="Z26" s="49"/>
    </row>
    <row r="27" spans="2:26" s="34" customFormat="1" ht="9" customHeight="1">
      <c r="B27" s="573"/>
      <c r="C27" s="573"/>
      <c r="D27" s="658" t="s">
        <v>21</v>
      </c>
      <c r="E27" s="573"/>
      <c r="F27" s="573"/>
      <c r="G27" s="672"/>
      <c r="H27" s="673"/>
      <c r="I27" s="673"/>
      <c r="J27" s="560" t="s">
        <v>222</v>
      </c>
      <c r="K27" s="560"/>
      <c r="L27" s="676"/>
      <c r="M27" s="676"/>
      <c r="N27" s="676"/>
      <c r="O27" s="599" t="s">
        <v>150</v>
      </c>
      <c r="P27" s="52"/>
      <c r="Q27" s="52"/>
      <c r="R27" s="25"/>
      <c r="S27" s="25"/>
      <c r="T27" s="25"/>
      <c r="U27" s="25"/>
      <c r="V27" s="47"/>
      <c r="W27" s="602"/>
      <c r="X27" s="12"/>
      <c r="Y27" s="444"/>
      <c r="Z27" s="49"/>
    </row>
    <row r="28" spans="2:26" s="34" customFormat="1" ht="8.25" customHeight="1">
      <c r="B28" s="573"/>
      <c r="C28" s="573"/>
      <c r="D28" s="658"/>
      <c r="E28" s="573"/>
      <c r="F28" s="573"/>
      <c r="G28" s="674"/>
      <c r="H28" s="675"/>
      <c r="I28" s="675"/>
      <c r="J28" s="600"/>
      <c r="K28" s="600"/>
      <c r="L28" s="677"/>
      <c r="M28" s="677"/>
      <c r="N28" s="677"/>
      <c r="O28" s="682"/>
      <c r="P28" s="53"/>
      <c r="Q28" s="53"/>
      <c r="R28" s="26"/>
      <c r="S28" s="26"/>
      <c r="T28" s="26"/>
      <c r="U28" s="26"/>
      <c r="V28" s="48"/>
      <c r="W28" s="668"/>
      <c r="X28" s="39"/>
      <c r="Y28" s="596"/>
      <c r="Z28" s="49"/>
    </row>
    <row r="29" spans="2:26" s="34" customFormat="1" ht="16.5" customHeight="1">
      <c r="B29" s="573"/>
      <c r="C29" s="573"/>
      <c r="D29" s="642" t="s">
        <v>22</v>
      </c>
      <c r="E29" s="643"/>
      <c r="F29" s="644"/>
      <c r="G29" s="620" t="s">
        <v>31</v>
      </c>
      <c r="H29" s="347"/>
      <c r="I29" s="347"/>
      <c r="J29" s="347"/>
      <c r="K29" s="347"/>
      <c r="L29" s="347" t="s">
        <v>32</v>
      </c>
      <c r="M29" s="347"/>
      <c r="N29" s="347"/>
      <c r="O29" s="347"/>
      <c r="P29" s="25"/>
      <c r="Q29" s="25"/>
      <c r="R29" s="25"/>
      <c r="S29" s="25"/>
      <c r="T29" s="25"/>
      <c r="U29" s="25"/>
      <c r="V29" s="47"/>
      <c r="W29" s="446" t="str">
        <f>IF(OR(利用区分=4,利用区分=6,利用区分=7,利用区分=8,利用区分=9),ROUNDDOWN(G30*L30,0),"")</f>
        <v/>
      </c>
      <c r="X29" s="12" t="s">
        <v>2</v>
      </c>
      <c r="Y29" s="444" t="s">
        <v>497</v>
      </c>
      <c r="Z29" s="49"/>
    </row>
    <row r="30" spans="2:26" s="34" customFormat="1" ht="6" customHeight="1">
      <c r="B30" s="573"/>
      <c r="C30" s="573"/>
      <c r="D30" s="645"/>
      <c r="E30" s="646"/>
      <c r="F30" s="647"/>
      <c r="G30" s="589" t="str">
        <f>IF(OR(利用区分=4,利用区分=6,利用区分=7,利用区分=8,利用区分=9),IF(AB11=FALSE,MIN(価額Ｍ,価額Ｎ,価額Ｏ),価額Ｐ),"")</f>
        <v/>
      </c>
      <c r="H30" s="363"/>
      <c r="I30" s="363"/>
      <c r="J30" s="124"/>
      <c r="K30" s="124"/>
      <c r="L30" s="592"/>
      <c r="M30" s="592"/>
      <c r="N30" s="592"/>
      <c r="O30" s="124"/>
      <c r="P30" s="124"/>
      <c r="Q30" s="124"/>
      <c r="R30" s="124"/>
      <c r="S30" s="124"/>
      <c r="T30" s="124"/>
      <c r="U30" s="124"/>
      <c r="V30" s="47"/>
      <c r="W30" s="446"/>
      <c r="X30" s="12"/>
      <c r="Y30" s="444"/>
      <c r="Z30" s="49"/>
    </row>
    <row r="31" spans="2:26" s="34" customFormat="1" ht="16.5" customHeight="1">
      <c r="B31" s="573"/>
      <c r="C31" s="573"/>
      <c r="D31" s="648"/>
      <c r="E31" s="649"/>
      <c r="F31" s="650"/>
      <c r="G31" s="590"/>
      <c r="H31" s="591"/>
      <c r="I31" s="591"/>
      <c r="J31" s="576" t="s">
        <v>210</v>
      </c>
      <c r="K31" s="576"/>
      <c r="L31" s="593"/>
      <c r="M31" s="593"/>
      <c r="N31" s="593"/>
      <c r="O31" s="36"/>
      <c r="P31" s="26"/>
      <c r="Q31" s="26"/>
      <c r="R31" s="26"/>
      <c r="S31" s="26"/>
      <c r="T31" s="26"/>
      <c r="U31" s="26"/>
      <c r="V31" s="48"/>
      <c r="W31" s="618"/>
      <c r="X31" s="39"/>
      <c r="Y31" s="596"/>
      <c r="Z31" s="49"/>
    </row>
    <row r="32" spans="2:26" s="34" customFormat="1" ht="16.5" customHeight="1">
      <c r="B32" s="573"/>
      <c r="C32" s="573"/>
      <c r="D32" s="685" t="s">
        <v>352</v>
      </c>
      <c r="E32" s="686"/>
      <c r="F32" s="686"/>
      <c r="G32" s="620" t="s">
        <v>504</v>
      </c>
      <c r="H32" s="347"/>
      <c r="I32" s="347"/>
      <c r="J32" s="347"/>
      <c r="K32" s="347"/>
      <c r="L32" s="347" t="s">
        <v>152</v>
      </c>
      <c r="M32" s="347"/>
      <c r="N32" s="347"/>
      <c r="O32" s="347" t="s">
        <v>153</v>
      </c>
      <c r="P32" s="347"/>
      <c r="Q32" s="347"/>
      <c r="R32" s="347"/>
      <c r="S32" s="604"/>
      <c r="T32" s="604"/>
      <c r="U32" s="604"/>
      <c r="V32" s="671"/>
      <c r="W32" s="446" t="str">
        <f>IF(OR(利用区分=6,AND(利用区分=8,H39="Ｖ"),AND(利用区分=9,H39="Ｖ",H42="Ｘ")),ROUNDDOWN(価額Ｕ*(1-L34*O33/O34),0),"")</f>
        <v/>
      </c>
      <c r="X32" s="12" t="s">
        <v>2</v>
      </c>
      <c r="Y32" s="717" t="s">
        <v>498</v>
      </c>
      <c r="Z32" s="49"/>
    </row>
    <row r="33" spans="2:27" s="34" customFormat="1" ht="12" customHeight="1">
      <c r="B33" s="573"/>
      <c r="C33" s="573"/>
      <c r="D33" s="685"/>
      <c r="E33" s="686"/>
      <c r="F33" s="686"/>
      <c r="G33" s="56" t="s">
        <v>165</v>
      </c>
      <c r="H33" s="689" t="str">
        <f>IF(OR(利用区分=6,AND(利用区分=8,H39="Ｖ"),AND(利用区分=9,H39="Ｖ",H42="Ｘ")),"Ｕ","")</f>
        <v/>
      </c>
      <c r="I33" s="689"/>
      <c r="J33" s="23" t="s">
        <v>107</v>
      </c>
      <c r="K33" s="25"/>
      <c r="L33" s="25"/>
      <c r="M33" s="25"/>
      <c r="N33" s="25"/>
      <c r="O33" s="683"/>
      <c r="P33" s="683"/>
      <c r="Q33" s="683"/>
      <c r="R33" s="33" t="s">
        <v>164</v>
      </c>
      <c r="S33" s="347" t="s">
        <v>107</v>
      </c>
      <c r="T33" s="25"/>
      <c r="U33" s="25"/>
      <c r="V33" s="47"/>
      <c r="W33" s="446"/>
      <c r="X33" s="12"/>
      <c r="Y33" s="716"/>
      <c r="Z33" s="49"/>
    </row>
    <row r="34" spans="2:27" s="34" customFormat="1" ht="15.75" customHeight="1">
      <c r="B34" s="573"/>
      <c r="C34" s="573"/>
      <c r="D34" s="687"/>
      <c r="E34" s="688"/>
      <c r="F34" s="688"/>
      <c r="G34" s="590" t="str">
        <f>IF(OR(利用区分=6,AND(利用区分=8,H39="Ｖ"),AND(利用区分=9,H39="Ｖ",H42="Ｘ")),価額Ｕ,"")</f>
        <v/>
      </c>
      <c r="H34" s="591"/>
      <c r="I34" s="591"/>
      <c r="J34" s="600" t="s">
        <v>211</v>
      </c>
      <c r="K34" s="600"/>
      <c r="L34" s="665">
        <v>0.3</v>
      </c>
      <c r="M34" s="665"/>
      <c r="N34" s="9" t="s">
        <v>106</v>
      </c>
      <c r="O34" s="683"/>
      <c r="P34" s="683"/>
      <c r="Q34" s="683"/>
      <c r="R34" s="15" t="s">
        <v>140</v>
      </c>
      <c r="S34" s="576"/>
      <c r="T34" s="26"/>
      <c r="U34" s="17"/>
      <c r="V34" s="39"/>
      <c r="W34" s="618"/>
      <c r="X34" s="39"/>
      <c r="Y34" s="607"/>
      <c r="Z34" s="49"/>
    </row>
    <row r="35" spans="2:27" s="34" customFormat="1" ht="16.5" customHeight="1">
      <c r="B35" s="573"/>
      <c r="C35" s="573"/>
      <c r="D35" s="645" t="s">
        <v>23</v>
      </c>
      <c r="E35" s="646"/>
      <c r="F35" s="646"/>
      <c r="G35" s="620" t="s">
        <v>504</v>
      </c>
      <c r="H35" s="347"/>
      <c r="I35" s="347"/>
      <c r="J35" s="347"/>
      <c r="K35" s="347"/>
      <c r="L35" s="347" t="s">
        <v>32</v>
      </c>
      <c r="M35" s="347"/>
      <c r="N35" s="347"/>
      <c r="O35" s="347"/>
      <c r="P35" s="25"/>
      <c r="Q35" s="25"/>
      <c r="R35" s="25"/>
      <c r="S35" s="25"/>
      <c r="T35" s="25"/>
      <c r="U35" s="25"/>
      <c r="V35" s="47"/>
      <c r="W35" s="446" t="str">
        <f>IF(利用区分=7,ROUNDDOWN(価額Ｕ*(1-L37),0),"")</f>
        <v/>
      </c>
      <c r="X35" s="12" t="s">
        <v>2</v>
      </c>
      <c r="Y35" s="717" t="s">
        <v>499</v>
      </c>
      <c r="Z35" s="49"/>
    </row>
    <row r="36" spans="2:27" s="34" customFormat="1" ht="13.5" customHeight="1">
      <c r="B36" s="573"/>
      <c r="C36" s="573"/>
      <c r="D36" s="645"/>
      <c r="E36" s="646"/>
      <c r="F36" s="646"/>
      <c r="G36" s="56" t="s">
        <v>165</v>
      </c>
      <c r="H36" s="689" t="str">
        <f>IF(利用区分=7,"Ｕ","")</f>
        <v/>
      </c>
      <c r="I36" s="689"/>
      <c r="J36" s="23" t="s">
        <v>107</v>
      </c>
      <c r="K36" s="25"/>
      <c r="L36" s="25"/>
      <c r="M36" s="25"/>
      <c r="N36" s="25"/>
      <c r="O36" s="25"/>
      <c r="P36" s="25"/>
      <c r="Q36" s="25"/>
      <c r="R36" s="25"/>
      <c r="S36" s="25"/>
      <c r="T36" s="25"/>
      <c r="U36" s="25"/>
      <c r="V36" s="47"/>
      <c r="W36" s="446"/>
      <c r="X36" s="12"/>
      <c r="Y36" s="716"/>
      <c r="Z36" s="49"/>
    </row>
    <row r="37" spans="2:27" s="34" customFormat="1" ht="20.25" customHeight="1">
      <c r="B37" s="573"/>
      <c r="C37" s="573"/>
      <c r="D37" s="648"/>
      <c r="E37" s="649"/>
      <c r="F37" s="649"/>
      <c r="G37" s="590" t="str">
        <f>IF(利用区分=7,価額Ｕ,"")</f>
        <v/>
      </c>
      <c r="H37" s="591"/>
      <c r="I37" s="591"/>
      <c r="J37" s="600" t="s">
        <v>211</v>
      </c>
      <c r="K37" s="600"/>
      <c r="L37" s="690" t="str">
        <f>IF(利用区分=7,L30,"")</f>
        <v/>
      </c>
      <c r="M37" s="690"/>
      <c r="N37" s="690"/>
      <c r="O37" s="36" t="s">
        <v>107</v>
      </c>
      <c r="P37" s="26"/>
      <c r="Q37" s="26"/>
      <c r="R37" s="26"/>
      <c r="S37" s="26"/>
      <c r="T37" s="26"/>
      <c r="U37" s="26"/>
      <c r="V37" s="48"/>
      <c r="W37" s="618"/>
      <c r="X37" s="39"/>
      <c r="Y37" s="607"/>
      <c r="Z37" s="49"/>
    </row>
    <row r="38" spans="2:27" s="34" customFormat="1" ht="16.5" customHeight="1">
      <c r="B38" s="573"/>
      <c r="C38" s="573"/>
      <c r="D38" s="645" t="s">
        <v>34</v>
      </c>
      <c r="E38" s="646"/>
      <c r="F38" s="646"/>
      <c r="G38" s="620" t="s">
        <v>505</v>
      </c>
      <c r="H38" s="347"/>
      <c r="I38" s="347"/>
      <c r="J38" s="347"/>
      <c r="K38" s="347"/>
      <c r="L38" s="595" t="s">
        <v>32</v>
      </c>
      <c r="M38" s="595"/>
      <c r="N38" s="595"/>
      <c r="O38" s="14"/>
      <c r="P38" s="25"/>
      <c r="Q38" s="25"/>
      <c r="R38" s="25"/>
      <c r="S38" s="25"/>
      <c r="T38" s="25"/>
      <c r="U38" s="25"/>
      <c r="V38" s="47"/>
      <c r="W38" s="446" t="str">
        <f>IF(OR(利用区分=8,AND(利用区分=9,H42="Ｘ")),ROUNDDOWN(G40*L40,0),"")</f>
        <v/>
      </c>
      <c r="X38" s="12" t="s">
        <v>2</v>
      </c>
      <c r="Y38" s="717" t="s">
        <v>500</v>
      </c>
      <c r="Z38" s="49"/>
      <c r="AA38" s="34" t="s">
        <v>541</v>
      </c>
    </row>
    <row r="39" spans="2:27" s="34" customFormat="1" ht="11.1" customHeight="1">
      <c r="B39" s="573"/>
      <c r="C39" s="573"/>
      <c r="D39" s="645"/>
      <c r="E39" s="646"/>
      <c r="F39" s="646"/>
      <c r="G39" s="54" t="s">
        <v>155</v>
      </c>
      <c r="H39" s="684" t="s">
        <v>496</v>
      </c>
      <c r="I39" s="684"/>
      <c r="J39" s="23" t="s">
        <v>107</v>
      </c>
      <c r="K39" s="25"/>
      <c r="L39" s="25"/>
      <c r="M39" s="25"/>
      <c r="N39" s="25"/>
      <c r="O39" s="25"/>
      <c r="P39" s="25"/>
      <c r="Q39" s="25"/>
      <c r="R39" s="25"/>
      <c r="S39" s="25"/>
      <c r="T39" s="25"/>
      <c r="U39" s="25"/>
      <c r="V39" s="47"/>
      <c r="W39" s="446"/>
      <c r="X39" s="12"/>
      <c r="Y39" s="716"/>
      <c r="Z39" s="49"/>
      <c r="AA39" s="34" t="s">
        <v>509</v>
      </c>
    </row>
    <row r="40" spans="2:27" s="34" customFormat="1" ht="16.5" customHeight="1">
      <c r="B40" s="573"/>
      <c r="C40" s="573"/>
      <c r="D40" s="648"/>
      <c r="E40" s="649"/>
      <c r="F40" s="649"/>
      <c r="G40" s="590" t="str">
        <f>IF(OR(利用区分=8,AND(利用区分=9,H42="Ｘ")),IF(H39="Ｕ",価額Ｕ,価額Ｖ),"")</f>
        <v/>
      </c>
      <c r="H40" s="591"/>
      <c r="I40" s="591"/>
      <c r="J40" s="576" t="s">
        <v>223</v>
      </c>
      <c r="K40" s="576"/>
      <c r="L40" s="665" t="str">
        <f>IF(OR(利用区分=8,AND(利用区分=9,H42="Ｘ")),L30,"")</f>
        <v/>
      </c>
      <c r="M40" s="665"/>
      <c r="N40" s="130"/>
      <c r="O40" s="36" t="s">
        <v>107</v>
      </c>
      <c r="P40" s="26"/>
      <c r="Q40" s="26"/>
      <c r="R40" s="26"/>
      <c r="S40" s="26"/>
      <c r="T40" s="26"/>
      <c r="U40" s="26"/>
      <c r="V40" s="48"/>
      <c r="W40" s="618"/>
      <c r="X40" s="39"/>
      <c r="Y40" s="607"/>
      <c r="Z40" s="49"/>
    </row>
    <row r="41" spans="2:27" s="34" customFormat="1" ht="16.5" customHeight="1">
      <c r="B41" s="573"/>
      <c r="C41" s="573"/>
      <c r="D41" s="685" t="s">
        <v>353</v>
      </c>
      <c r="E41" s="691"/>
      <c r="F41" s="691"/>
      <c r="G41" s="620" t="s">
        <v>506</v>
      </c>
      <c r="H41" s="347"/>
      <c r="I41" s="347"/>
      <c r="J41" s="347"/>
      <c r="K41" s="347"/>
      <c r="L41" s="347" t="s">
        <v>453</v>
      </c>
      <c r="M41" s="347"/>
      <c r="N41" s="347"/>
      <c r="O41" s="347" t="s">
        <v>371</v>
      </c>
      <c r="P41" s="347"/>
      <c r="Q41" s="347"/>
      <c r="R41" s="347"/>
      <c r="S41" s="25"/>
      <c r="T41" s="25"/>
      <c r="U41" s="25"/>
      <c r="V41" s="47"/>
      <c r="W41" s="446" t="str">
        <f>IF(利用区分=9,ROUNDDOWN(G43*L43*O42/O43,0),"")</f>
        <v/>
      </c>
      <c r="X41" s="12" t="s">
        <v>2</v>
      </c>
      <c r="Y41" s="717" t="s">
        <v>159</v>
      </c>
      <c r="Z41" s="49"/>
      <c r="AA41" s="34" t="s">
        <v>154</v>
      </c>
    </row>
    <row r="42" spans="2:27" s="34" customFormat="1" ht="13.5" customHeight="1">
      <c r="B42" s="573"/>
      <c r="C42" s="573"/>
      <c r="D42" s="692"/>
      <c r="E42" s="691"/>
      <c r="F42" s="691"/>
      <c r="G42" s="54" t="s">
        <v>155</v>
      </c>
      <c r="H42" s="684" t="s">
        <v>496</v>
      </c>
      <c r="I42" s="684"/>
      <c r="J42" s="23" t="s">
        <v>107</v>
      </c>
      <c r="K42" s="25"/>
      <c r="L42" s="25"/>
      <c r="M42" s="25"/>
      <c r="N42" s="25"/>
      <c r="O42" s="683"/>
      <c r="P42" s="683"/>
      <c r="Q42" s="683"/>
      <c r="R42" s="33" t="s">
        <v>164</v>
      </c>
      <c r="S42" s="25"/>
      <c r="T42" s="25"/>
      <c r="U42" s="25"/>
      <c r="V42" s="47"/>
      <c r="W42" s="446"/>
      <c r="X42" s="157"/>
      <c r="Y42" s="716"/>
      <c r="Z42" s="49"/>
      <c r="AA42" s="34" t="s">
        <v>292</v>
      </c>
    </row>
    <row r="43" spans="2:27" s="34" customFormat="1" ht="15.75" customHeight="1">
      <c r="B43" s="573"/>
      <c r="C43" s="573"/>
      <c r="D43" s="693"/>
      <c r="E43" s="694"/>
      <c r="F43" s="694"/>
      <c r="G43" s="590" t="str">
        <f>IF(AND(利用区分=9,H42="Ｕ"),価額Ｕ,IF(H42="Ｘ",価額Ｘ,""))</f>
        <v/>
      </c>
      <c r="H43" s="591"/>
      <c r="I43" s="591"/>
      <c r="J43" s="682" t="s">
        <v>223</v>
      </c>
      <c r="K43" s="682"/>
      <c r="L43" s="665">
        <v>0.3</v>
      </c>
      <c r="M43" s="665"/>
      <c r="N43" s="9" t="s">
        <v>106</v>
      </c>
      <c r="O43" s="683"/>
      <c r="P43" s="683"/>
      <c r="Q43" s="683"/>
      <c r="R43" s="15" t="s">
        <v>140</v>
      </c>
      <c r="S43" s="36"/>
      <c r="T43" s="26"/>
      <c r="U43" s="26"/>
      <c r="V43" s="48"/>
      <c r="W43" s="618"/>
      <c r="X43" s="39"/>
      <c r="Y43" s="607"/>
      <c r="Z43" s="49"/>
    </row>
    <row r="44" spans="2:27" s="34" customFormat="1" ht="8.85" customHeight="1">
      <c r="B44" s="573"/>
      <c r="C44" s="573"/>
      <c r="D44" s="699" t="s">
        <v>156</v>
      </c>
      <c r="E44" s="700"/>
      <c r="F44" s="700"/>
      <c r="G44" s="620" t="s">
        <v>157</v>
      </c>
      <c r="H44" s="347"/>
      <c r="I44" s="347"/>
      <c r="J44" s="347"/>
      <c r="K44" s="347" t="s">
        <v>155</v>
      </c>
      <c r="L44" s="679"/>
      <c r="M44" s="679"/>
      <c r="N44" s="347" t="s">
        <v>158</v>
      </c>
      <c r="O44" s="347"/>
      <c r="P44" s="25"/>
      <c r="Q44" s="25"/>
      <c r="R44" s="25"/>
      <c r="S44" s="25"/>
      <c r="T44" s="25"/>
      <c r="U44" s="25"/>
      <c r="V44" s="47"/>
      <c r="W44" s="705"/>
      <c r="X44" s="12" t="s">
        <v>2</v>
      </c>
      <c r="Y44" s="444" t="s">
        <v>161</v>
      </c>
      <c r="Z44" s="35"/>
    </row>
    <row r="45" spans="2:27" s="34" customFormat="1" ht="10.5" customHeight="1">
      <c r="B45" s="573"/>
      <c r="C45" s="573"/>
      <c r="D45" s="158"/>
      <c r="E45" s="588"/>
      <c r="F45" s="159"/>
      <c r="G45" s="620"/>
      <c r="H45" s="347"/>
      <c r="I45" s="347"/>
      <c r="J45" s="347"/>
      <c r="K45" s="347"/>
      <c r="L45" s="679"/>
      <c r="M45" s="679"/>
      <c r="N45" s="347"/>
      <c r="O45" s="347"/>
      <c r="P45" s="25"/>
      <c r="Q45" s="25"/>
      <c r="R45" s="25"/>
      <c r="S45" s="25"/>
      <c r="T45" s="25"/>
      <c r="U45" s="25"/>
      <c r="V45" s="47"/>
      <c r="W45" s="705"/>
      <c r="X45" s="12"/>
      <c r="Y45" s="444"/>
      <c r="Z45" s="35"/>
    </row>
    <row r="46" spans="2:27" s="34" customFormat="1" ht="3.75" customHeight="1">
      <c r="B46" s="573"/>
      <c r="C46" s="573"/>
      <c r="D46" s="131"/>
      <c r="E46" s="588"/>
      <c r="F46" s="132"/>
      <c r="G46" s="603"/>
      <c r="H46" s="604"/>
      <c r="I46" s="604"/>
      <c r="J46" s="604"/>
      <c r="K46" s="604"/>
      <c r="L46" s="604"/>
      <c r="M46" s="604"/>
      <c r="N46" s="604"/>
      <c r="O46" s="604"/>
      <c r="P46" s="604"/>
      <c r="Q46" s="604"/>
      <c r="R46" s="604"/>
      <c r="S46" s="604"/>
      <c r="T46" s="604"/>
      <c r="U46" s="604"/>
      <c r="V46" s="671"/>
      <c r="W46" s="705"/>
      <c r="X46" s="12"/>
      <c r="Y46" s="444"/>
      <c r="Z46" s="35"/>
    </row>
    <row r="47" spans="2:27" s="34" customFormat="1" ht="9" customHeight="1">
      <c r="B47" s="573"/>
      <c r="C47" s="573"/>
      <c r="D47" s="699" t="s">
        <v>160</v>
      </c>
      <c r="E47" s="700"/>
      <c r="F47" s="700"/>
      <c r="G47" s="603"/>
      <c r="H47" s="604"/>
      <c r="I47" s="604"/>
      <c r="J47" s="604"/>
      <c r="K47" s="604"/>
      <c r="L47" s="604"/>
      <c r="M47" s="604"/>
      <c r="N47" s="604"/>
      <c r="O47" s="604"/>
      <c r="P47" s="604"/>
      <c r="Q47" s="604"/>
      <c r="R47" s="604"/>
      <c r="S47" s="604"/>
      <c r="T47" s="604"/>
      <c r="U47" s="604"/>
      <c r="V47" s="671"/>
      <c r="W47" s="705"/>
      <c r="X47" s="12"/>
      <c r="Y47" s="444"/>
      <c r="Z47" s="35"/>
    </row>
    <row r="48" spans="2:27" s="34" customFormat="1" ht="15" customHeight="1">
      <c r="B48" s="573"/>
      <c r="C48" s="573"/>
      <c r="D48" s="695" t="s">
        <v>35</v>
      </c>
      <c r="E48" s="696"/>
      <c r="F48" s="696"/>
      <c r="G48" s="697"/>
      <c r="H48" s="698"/>
      <c r="I48" s="698"/>
      <c r="J48" s="682" t="s">
        <v>85</v>
      </c>
      <c r="K48" s="682"/>
      <c r="L48" s="701"/>
      <c r="M48" s="701"/>
      <c r="N48" s="701"/>
      <c r="O48" s="36"/>
      <c r="P48" s="26"/>
      <c r="Q48" s="26"/>
      <c r="R48" s="26"/>
      <c r="S48" s="26"/>
      <c r="T48" s="26"/>
      <c r="U48" s="26"/>
      <c r="V48" s="48"/>
      <c r="W48" s="698"/>
      <c r="X48" s="39"/>
      <c r="Y48" s="596"/>
      <c r="Z48" s="35"/>
    </row>
    <row r="49" spans="2:26" s="34" customFormat="1" ht="18.75" customHeight="1">
      <c r="B49" s="573"/>
      <c r="C49" s="573"/>
      <c r="D49" s="658" t="s">
        <v>36</v>
      </c>
      <c r="E49" s="659" t="s">
        <v>37</v>
      </c>
      <c r="F49" s="702" t="s">
        <v>38</v>
      </c>
      <c r="G49" s="620" t="s">
        <v>507</v>
      </c>
      <c r="H49" s="347"/>
      <c r="I49" s="347"/>
      <c r="J49" s="347"/>
      <c r="K49" s="347"/>
      <c r="L49" s="679"/>
      <c r="M49" s="679"/>
      <c r="N49" s="347" t="s">
        <v>20</v>
      </c>
      <c r="O49" s="347"/>
      <c r="P49" s="25"/>
      <c r="Q49" s="25"/>
      <c r="R49" s="25"/>
      <c r="S49" s="25"/>
      <c r="T49" s="25"/>
      <c r="U49" s="25"/>
      <c r="V49" s="47"/>
      <c r="W49" s="705"/>
      <c r="X49" s="12" t="s">
        <v>2</v>
      </c>
      <c r="Y49" s="717" t="s">
        <v>501</v>
      </c>
      <c r="Z49" s="35"/>
    </row>
    <row r="50" spans="2:26" s="34" customFormat="1" ht="14.25" customHeight="1">
      <c r="B50" s="573"/>
      <c r="C50" s="573"/>
      <c r="D50" s="658"/>
      <c r="E50" s="659"/>
      <c r="F50" s="703"/>
      <c r="G50" s="54" t="s">
        <v>155</v>
      </c>
      <c r="H50" s="712"/>
      <c r="I50" s="712"/>
      <c r="J50" s="11" t="s">
        <v>107</v>
      </c>
      <c r="K50" s="19"/>
      <c r="L50" s="19"/>
      <c r="M50" s="19"/>
      <c r="N50" s="19"/>
      <c r="O50" s="25"/>
      <c r="P50" s="25"/>
      <c r="Q50" s="25"/>
      <c r="R50" s="25"/>
      <c r="S50" s="25"/>
      <c r="T50" s="25"/>
      <c r="U50" s="25"/>
      <c r="V50" s="47"/>
      <c r="W50" s="705"/>
      <c r="X50" s="12"/>
      <c r="Y50" s="716"/>
      <c r="Z50" s="49"/>
    </row>
    <row r="51" spans="2:26" ht="14.1" customHeight="1">
      <c r="B51" s="573"/>
      <c r="C51" s="573"/>
      <c r="D51" s="661"/>
      <c r="E51" s="662"/>
      <c r="F51" s="704"/>
      <c r="G51" s="697"/>
      <c r="H51" s="698"/>
      <c r="I51" s="698"/>
      <c r="J51" s="600" t="s">
        <v>211</v>
      </c>
      <c r="K51" s="600"/>
      <c r="L51" s="701"/>
      <c r="M51" s="701"/>
      <c r="N51" s="701"/>
      <c r="O51" s="36" t="s">
        <v>107</v>
      </c>
      <c r="P51" s="26"/>
      <c r="Q51" s="26"/>
      <c r="R51" s="26"/>
      <c r="S51" s="26"/>
      <c r="T51" s="26"/>
      <c r="U51" s="26"/>
      <c r="V51" s="48"/>
      <c r="W51" s="698"/>
      <c r="X51" s="39"/>
      <c r="Y51" s="607"/>
      <c r="Z51" s="30"/>
    </row>
    <row r="52" spans="2:26" ht="19.5" customHeight="1">
      <c r="B52" s="573"/>
      <c r="C52" s="573"/>
      <c r="D52" s="658" t="s">
        <v>39</v>
      </c>
      <c r="E52" s="659" t="s">
        <v>40</v>
      </c>
      <c r="F52" s="702" t="s">
        <v>41</v>
      </c>
      <c r="G52" s="620" t="s">
        <v>508</v>
      </c>
      <c r="H52" s="347"/>
      <c r="I52" s="347"/>
      <c r="J52" s="347"/>
      <c r="K52" s="347"/>
      <c r="L52" s="679"/>
      <c r="M52" s="679"/>
      <c r="N52" s="347" t="s">
        <v>20</v>
      </c>
      <c r="O52" s="347"/>
      <c r="P52" s="25"/>
      <c r="Q52" s="25"/>
      <c r="R52" s="25"/>
      <c r="S52" s="25"/>
      <c r="T52" s="25"/>
      <c r="U52" s="25"/>
      <c r="V52" s="47"/>
      <c r="W52" s="705"/>
      <c r="X52" s="12" t="s">
        <v>2</v>
      </c>
      <c r="Y52" s="713" t="s">
        <v>502</v>
      </c>
      <c r="Z52" s="30"/>
    </row>
    <row r="53" spans="2:26" ht="12" customHeight="1">
      <c r="B53" s="573"/>
      <c r="C53" s="573"/>
      <c r="D53" s="658"/>
      <c r="E53" s="659"/>
      <c r="F53" s="703"/>
      <c r="G53" s="54" t="s">
        <v>155</v>
      </c>
      <c r="H53" s="712"/>
      <c r="I53" s="712"/>
      <c r="J53" s="23" t="s">
        <v>107</v>
      </c>
      <c r="K53" s="25"/>
      <c r="L53" s="25"/>
      <c r="M53" s="25"/>
      <c r="N53" s="25"/>
      <c r="O53" s="25"/>
      <c r="P53" s="25"/>
      <c r="Q53" s="25"/>
      <c r="R53" s="25"/>
      <c r="S53" s="25"/>
      <c r="T53" s="25"/>
      <c r="U53" s="25"/>
      <c r="V53" s="47"/>
      <c r="W53" s="705"/>
      <c r="X53" s="12"/>
      <c r="Y53" s="714"/>
      <c r="Z53" s="30"/>
    </row>
    <row r="54" spans="2:26" ht="14.1" customHeight="1">
      <c r="B54" s="696"/>
      <c r="C54" s="696"/>
      <c r="D54" s="661"/>
      <c r="E54" s="662"/>
      <c r="F54" s="704"/>
      <c r="G54" s="697"/>
      <c r="H54" s="698"/>
      <c r="I54" s="698"/>
      <c r="J54" s="600" t="s">
        <v>211</v>
      </c>
      <c r="K54" s="600"/>
      <c r="L54" s="701"/>
      <c r="M54" s="701"/>
      <c r="N54" s="701"/>
      <c r="O54" s="36" t="s">
        <v>107</v>
      </c>
      <c r="P54" s="26"/>
      <c r="Q54" s="26"/>
      <c r="R54" s="26"/>
      <c r="S54" s="26"/>
      <c r="T54" s="26"/>
      <c r="U54" s="26"/>
      <c r="V54" s="48"/>
      <c r="W54" s="698"/>
      <c r="X54" s="39"/>
      <c r="Y54" s="715"/>
      <c r="Z54" s="30"/>
    </row>
    <row r="55" spans="2:26" ht="11.1" customHeight="1">
      <c r="B55" s="572" t="s">
        <v>370</v>
      </c>
      <c r="C55" s="572"/>
      <c r="D55" s="707"/>
      <c r="E55" s="708"/>
      <c r="F55" s="708"/>
      <c r="G55" s="708"/>
      <c r="H55" s="708"/>
      <c r="I55" s="708"/>
      <c r="J55" s="708"/>
      <c r="K55" s="708"/>
      <c r="L55" s="708"/>
      <c r="M55" s="708"/>
      <c r="N55" s="708"/>
      <c r="O55" s="708"/>
      <c r="P55" s="708"/>
      <c r="Q55" s="708"/>
      <c r="R55" s="708"/>
      <c r="S55" s="708"/>
      <c r="T55" s="708"/>
      <c r="U55" s="708"/>
      <c r="V55" s="708"/>
      <c r="W55" s="708"/>
      <c r="X55" s="708"/>
      <c r="Y55" s="708"/>
      <c r="Z55" s="30"/>
    </row>
    <row r="56" spans="2:26" ht="21.75" customHeight="1">
      <c r="B56" s="572"/>
      <c r="C56" s="572"/>
      <c r="D56" s="709"/>
      <c r="E56" s="710"/>
      <c r="F56" s="710"/>
      <c r="G56" s="710"/>
      <c r="H56" s="710"/>
      <c r="I56" s="710"/>
      <c r="J56" s="710"/>
      <c r="K56" s="710"/>
      <c r="L56" s="710"/>
      <c r="M56" s="710"/>
      <c r="N56" s="710"/>
      <c r="O56" s="710"/>
      <c r="P56" s="710"/>
      <c r="Q56" s="710"/>
      <c r="R56" s="710"/>
      <c r="S56" s="710"/>
      <c r="T56" s="710"/>
      <c r="U56" s="710"/>
      <c r="V56" s="710"/>
      <c r="W56" s="710"/>
      <c r="X56" s="710"/>
      <c r="Y56" s="710"/>
      <c r="Z56" s="30"/>
    </row>
    <row r="57" spans="2:26" ht="70.5" customHeight="1">
      <c r="B57" s="572"/>
      <c r="C57" s="572"/>
      <c r="D57" s="709"/>
      <c r="E57" s="710"/>
      <c r="F57" s="710"/>
      <c r="G57" s="710"/>
      <c r="H57" s="710"/>
      <c r="I57" s="710"/>
      <c r="J57" s="710"/>
      <c r="K57" s="710"/>
      <c r="L57" s="710"/>
      <c r="M57" s="710"/>
      <c r="N57" s="710"/>
      <c r="O57" s="710"/>
      <c r="P57" s="710"/>
      <c r="Q57" s="710"/>
      <c r="R57" s="710"/>
      <c r="S57" s="710"/>
      <c r="T57" s="710"/>
      <c r="U57" s="710"/>
      <c r="V57" s="710"/>
      <c r="W57" s="710"/>
      <c r="X57" s="710"/>
      <c r="Y57" s="710"/>
      <c r="Z57" s="30"/>
    </row>
    <row r="58" spans="2:26" ht="11.1" customHeight="1">
      <c r="B58" s="572"/>
      <c r="C58" s="572"/>
      <c r="D58" s="709"/>
      <c r="E58" s="710"/>
      <c r="F58" s="710"/>
      <c r="G58" s="710"/>
      <c r="H58" s="710"/>
      <c r="I58" s="710"/>
      <c r="J58" s="710"/>
      <c r="K58" s="710"/>
      <c r="L58" s="710"/>
      <c r="M58" s="710"/>
      <c r="N58" s="710"/>
      <c r="O58" s="710"/>
      <c r="P58" s="710"/>
      <c r="Q58" s="710"/>
      <c r="R58" s="710"/>
      <c r="S58" s="710"/>
      <c r="T58" s="710"/>
      <c r="U58" s="710"/>
      <c r="V58" s="710"/>
      <c r="W58" s="710"/>
      <c r="X58" s="710"/>
      <c r="Y58" s="710"/>
      <c r="Z58" s="30"/>
    </row>
    <row r="59" spans="2:26" ht="2.25" customHeight="1">
      <c r="B59" s="42"/>
      <c r="C59" s="42"/>
      <c r="D59" s="25"/>
      <c r="E59" s="25"/>
      <c r="F59" s="25"/>
      <c r="G59" s="25"/>
      <c r="H59" s="25"/>
      <c r="I59" s="25"/>
      <c r="J59" s="25"/>
      <c r="K59" s="25"/>
      <c r="L59" s="25"/>
      <c r="M59" s="25"/>
      <c r="N59" s="25"/>
      <c r="O59" s="25"/>
      <c r="P59" s="25"/>
      <c r="Q59" s="25"/>
      <c r="R59" s="25"/>
      <c r="S59" s="25"/>
      <c r="T59" s="25"/>
      <c r="U59" s="25"/>
      <c r="V59" s="25"/>
      <c r="W59" s="25"/>
      <c r="X59" s="25"/>
      <c r="Y59" s="25"/>
      <c r="Z59" s="30"/>
    </row>
    <row r="60" spans="2:26" s="55" customFormat="1" ht="10.5" customHeight="1">
      <c r="B60" s="347" t="s">
        <v>42</v>
      </c>
      <c r="C60" s="347"/>
      <c r="D60" s="599" t="s">
        <v>354</v>
      </c>
      <c r="E60" s="599"/>
      <c r="F60" s="599"/>
      <c r="G60" s="599"/>
      <c r="H60" s="599"/>
      <c r="I60" s="599"/>
      <c r="J60" s="599"/>
      <c r="K60" s="599"/>
      <c r="L60" s="599"/>
      <c r="M60" s="599"/>
      <c r="N60" s="599"/>
      <c r="O60" s="599"/>
      <c r="P60" s="599"/>
      <c r="Q60" s="599"/>
      <c r="R60" s="599"/>
      <c r="S60" s="599"/>
      <c r="T60" s="599"/>
      <c r="U60" s="599"/>
      <c r="V60" s="599"/>
      <c r="W60" s="599"/>
      <c r="X60" s="599"/>
      <c r="Y60" s="599"/>
      <c r="Z60" s="32"/>
    </row>
    <row r="61" spans="2:26" s="55" customFormat="1" ht="10.5" customHeight="1">
      <c r="B61" s="32"/>
      <c r="C61" s="32"/>
      <c r="D61" s="13"/>
      <c r="E61" s="13"/>
      <c r="F61" s="13"/>
      <c r="G61" s="13"/>
      <c r="H61" s="13"/>
      <c r="I61" s="13"/>
      <c r="J61" s="13"/>
      <c r="K61" s="13"/>
      <c r="L61" s="13"/>
      <c r="M61" s="13"/>
      <c r="N61" s="13"/>
      <c r="O61" s="13"/>
      <c r="P61" s="13"/>
      <c r="Q61" s="13"/>
      <c r="R61" s="13"/>
      <c r="S61" s="439" t="s">
        <v>321</v>
      </c>
      <c r="T61" s="439"/>
      <c r="U61" s="439"/>
      <c r="V61" s="439"/>
      <c r="W61" s="439"/>
      <c r="X61" s="439"/>
      <c r="Y61" s="439"/>
      <c r="Z61" s="32"/>
    </row>
    <row r="62" spans="2:26" s="55" customFormat="1" ht="10.5" customHeight="1">
      <c r="D62" s="711"/>
      <c r="E62" s="711"/>
      <c r="F62" s="711"/>
      <c r="G62" s="711"/>
      <c r="H62" s="711"/>
      <c r="I62" s="711"/>
      <c r="J62" s="711"/>
      <c r="K62" s="711"/>
      <c r="L62" s="711"/>
      <c r="M62" s="711"/>
      <c r="N62" s="711"/>
      <c r="O62" s="711"/>
      <c r="P62" s="711"/>
      <c r="Q62" s="711"/>
      <c r="R62" s="711"/>
      <c r="S62" s="711"/>
      <c r="T62" s="711"/>
      <c r="U62" s="711"/>
      <c r="V62" s="711"/>
      <c r="W62" s="711"/>
      <c r="X62" s="711"/>
      <c r="Y62" s="711"/>
    </row>
    <row r="63" spans="2:26" s="55" customFormat="1" ht="10.5" customHeight="1">
      <c r="D63" s="706"/>
      <c r="E63" s="706"/>
      <c r="F63" s="706"/>
      <c r="G63" s="706"/>
      <c r="H63" s="706"/>
      <c r="I63" s="706"/>
      <c r="J63" s="706"/>
      <c r="K63" s="706"/>
      <c r="L63" s="706"/>
      <c r="M63" s="706"/>
      <c r="N63" s="706"/>
      <c r="O63" s="706"/>
      <c r="P63" s="706"/>
      <c r="Q63" s="706"/>
      <c r="R63" s="706"/>
      <c r="S63" s="706"/>
      <c r="T63" s="706"/>
      <c r="U63" s="706"/>
      <c r="V63" s="706"/>
      <c r="W63" s="706"/>
      <c r="X63" s="706"/>
      <c r="Y63" s="706"/>
    </row>
  </sheetData>
  <sheetProtection algorithmName="SHA-512" hashValue="Ot3veWHKhde7SltL4nNzOr2mF0pEDhfnpu3BsV66iNTaH4iUHX0CFINn9i5ywfCHDcTTYGRJfR0GDNTCU1q6jA==" saltValue="iBte3pwDuz3Ek026Qt77MQ==" spinCount="100000" sheet="1" objects="1" scenarios="1" selectLockedCells="1"/>
  <dataConsolidate link="1"/>
  <mergeCells count="190">
    <mergeCell ref="Z3:Z14"/>
    <mergeCell ref="Y52:Y54"/>
    <mergeCell ref="Y9:Y11"/>
    <mergeCell ref="Y12:Y14"/>
    <mergeCell ref="Y17:Y19"/>
    <mergeCell ref="Y20:Y22"/>
    <mergeCell ref="Y32:Y34"/>
    <mergeCell ref="Y35:Y37"/>
    <mergeCell ref="Y38:Y40"/>
    <mergeCell ref="Y41:Y43"/>
    <mergeCell ref="Y49:Y51"/>
    <mergeCell ref="S61:Y61"/>
    <mergeCell ref="W44:W48"/>
    <mergeCell ref="N49:O49"/>
    <mergeCell ref="D63:Y63"/>
    <mergeCell ref="B55:C58"/>
    <mergeCell ref="D55:Y58"/>
    <mergeCell ref="B60:C60"/>
    <mergeCell ref="D60:Y60"/>
    <mergeCell ref="D62:Y62"/>
    <mergeCell ref="F52:F54"/>
    <mergeCell ref="G52:K52"/>
    <mergeCell ref="H53:I53"/>
    <mergeCell ref="L52:M52"/>
    <mergeCell ref="N52:O52"/>
    <mergeCell ref="W52:W54"/>
    <mergeCell ref="H50:I50"/>
    <mergeCell ref="G54:I54"/>
    <mergeCell ref="L49:M49"/>
    <mergeCell ref="J54:K54"/>
    <mergeCell ref="L54:N54"/>
    <mergeCell ref="W49:W51"/>
    <mergeCell ref="L44:M45"/>
    <mergeCell ref="N44:O45"/>
    <mergeCell ref="B16:C54"/>
    <mergeCell ref="D52:D54"/>
    <mergeCell ref="D49:D51"/>
    <mergeCell ref="E49:E51"/>
    <mergeCell ref="F49:F51"/>
    <mergeCell ref="E52:E54"/>
    <mergeCell ref="G51:I51"/>
    <mergeCell ref="J51:K51"/>
    <mergeCell ref="L51:N51"/>
    <mergeCell ref="G49:K49"/>
    <mergeCell ref="D48:F48"/>
    <mergeCell ref="G48:I48"/>
    <mergeCell ref="J48:K48"/>
    <mergeCell ref="G44:J45"/>
    <mergeCell ref="K44:K45"/>
    <mergeCell ref="D44:F44"/>
    <mergeCell ref="D47:F47"/>
    <mergeCell ref="G46:V47"/>
    <mergeCell ref="O41:R41"/>
    <mergeCell ref="O43:Q43"/>
    <mergeCell ref="L48:N48"/>
    <mergeCell ref="D38:F40"/>
    <mergeCell ref="G38:K38"/>
    <mergeCell ref="G43:I43"/>
    <mergeCell ref="J43:K43"/>
    <mergeCell ref="L43:M43"/>
    <mergeCell ref="D41:F43"/>
    <mergeCell ref="G41:K41"/>
    <mergeCell ref="H42:I42"/>
    <mergeCell ref="W38:W40"/>
    <mergeCell ref="G40:I40"/>
    <mergeCell ref="J40:K40"/>
    <mergeCell ref="L41:N41"/>
    <mergeCell ref="W35:W37"/>
    <mergeCell ref="G37:I37"/>
    <mergeCell ref="O42:Q42"/>
    <mergeCell ref="L38:N38"/>
    <mergeCell ref="L40:M40"/>
    <mergeCell ref="H39:I39"/>
    <mergeCell ref="W41:W43"/>
    <mergeCell ref="D32:F34"/>
    <mergeCell ref="G32:K32"/>
    <mergeCell ref="L32:N32"/>
    <mergeCell ref="D35:F37"/>
    <mergeCell ref="G35:K35"/>
    <mergeCell ref="L35:O35"/>
    <mergeCell ref="L34:M34"/>
    <mergeCell ref="H33:I33"/>
    <mergeCell ref="J37:K37"/>
    <mergeCell ref="L37:N37"/>
    <mergeCell ref="H36:I36"/>
    <mergeCell ref="W32:W34"/>
    <mergeCell ref="S32:V32"/>
    <mergeCell ref="S33:S34"/>
    <mergeCell ref="O33:Q33"/>
    <mergeCell ref="O32:R32"/>
    <mergeCell ref="O34:Q34"/>
    <mergeCell ref="G34:I34"/>
    <mergeCell ref="J34:K34"/>
    <mergeCell ref="Y29:Y31"/>
    <mergeCell ref="W23:W28"/>
    <mergeCell ref="Y23:Y28"/>
    <mergeCell ref="W29:W31"/>
    <mergeCell ref="D24:D25"/>
    <mergeCell ref="G25:V26"/>
    <mergeCell ref="D27:D28"/>
    <mergeCell ref="G27:I28"/>
    <mergeCell ref="L27:N28"/>
    <mergeCell ref="L23:M24"/>
    <mergeCell ref="F23:F28"/>
    <mergeCell ref="G23:J24"/>
    <mergeCell ref="K23:K24"/>
    <mergeCell ref="J27:K28"/>
    <mergeCell ref="G29:K29"/>
    <mergeCell ref="L29:O29"/>
    <mergeCell ref="N23:O24"/>
    <mergeCell ref="O27:O28"/>
    <mergeCell ref="J31:K31"/>
    <mergeCell ref="D29:F31"/>
    <mergeCell ref="R21:T21"/>
    <mergeCell ref="P14:Q14"/>
    <mergeCell ref="R14:T14"/>
    <mergeCell ref="E23:E28"/>
    <mergeCell ref="D16:F16"/>
    <mergeCell ref="G16:U16"/>
    <mergeCell ref="D17:F19"/>
    <mergeCell ref="W17:W19"/>
    <mergeCell ref="G18:U18"/>
    <mergeCell ref="G19:I19"/>
    <mergeCell ref="W20:W22"/>
    <mergeCell ref="V21:V22"/>
    <mergeCell ref="L21:M22"/>
    <mergeCell ref="N21:N22"/>
    <mergeCell ref="L19:N19"/>
    <mergeCell ref="D20:F22"/>
    <mergeCell ref="Q21:Q22"/>
    <mergeCell ref="O21:P22"/>
    <mergeCell ref="J19:K19"/>
    <mergeCell ref="L20:V20"/>
    <mergeCell ref="B1:Y1"/>
    <mergeCell ref="B9:B14"/>
    <mergeCell ref="C9:C14"/>
    <mergeCell ref="D9:I9"/>
    <mergeCell ref="W9:W11"/>
    <mergeCell ref="Y6:Y7"/>
    <mergeCell ref="E14:G14"/>
    <mergeCell ref="D10:G10"/>
    <mergeCell ref="I10:K10"/>
    <mergeCell ref="M10:U10"/>
    <mergeCell ref="N13:P13"/>
    <mergeCell ref="D13:H13"/>
    <mergeCell ref="Q12:Q13"/>
    <mergeCell ref="I13:J13"/>
    <mergeCell ref="D11:G11"/>
    <mergeCell ref="I11:K11"/>
    <mergeCell ref="O3:Q3"/>
    <mergeCell ref="M3:N5"/>
    <mergeCell ref="M11:S11"/>
    <mergeCell ref="R13:T13"/>
    <mergeCell ref="L6:N6"/>
    <mergeCell ref="L7:N7"/>
    <mergeCell ref="W3:W5"/>
    <mergeCell ref="B2:E5"/>
    <mergeCell ref="AA4:AD5"/>
    <mergeCell ref="E45:E46"/>
    <mergeCell ref="G30:I31"/>
    <mergeCell ref="L30:N31"/>
    <mergeCell ref="G17:I17"/>
    <mergeCell ref="F7:I7"/>
    <mergeCell ref="F2:I2"/>
    <mergeCell ref="Y2:Y5"/>
    <mergeCell ref="Y44:Y48"/>
    <mergeCell ref="L17:O17"/>
    <mergeCell ref="G20:K20"/>
    <mergeCell ref="G21:I22"/>
    <mergeCell ref="J21:K22"/>
    <mergeCell ref="J3:L5"/>
    <mergeCell ref="W12:W14"/>
    <mergeCell ref="D12:I12"/>
    <mergeCell ref="M12:M13"/>
    <mergeCell ref="N12:P12"/>
    <mergeCell ref="W16:X16"/>
    <mergeCell ref="R22:T22"/>
    <mergeCell ref="I14:J14"/>
    <mergeCell ref="K14:L14"/>
    <mergeCell ref="M14:O14"/>
    <mergeCell ref="B6:E7"/>
    <mergeCell ref="S3:U5"/>
    <mergeCell ref="O2:R2"/>
    <mergeCell ref="O5:Q5"/>
    <mergeCell ref="O4:R4"/>
    <mergeCell ref="F3:H5"/>
    <mergeCell ref="I3:I5"/>
    <mergeCell ref="J2:L2"/>
    <mergeCell ref="J7:K7"/>
    <mergeCell ref="F6:I6"/>
  </mergeCells>
  <phoneticPr fontId="2"/>
  <dataValidations count="4">
    <dataValidation imeMode="halfAlpha" allowBlank="1" showInputMessage="1" showErrorMessage="1" sqref="L19:N19 L21:M22 L30:N31 R21:T22 O33:Q34 O3:Q3 O42:Q43 AA7:AB7"/>
    <dataValidation imeMode="on" allowBlank="1" showInputMessage="1" showErrorMessage="1" sqref="E45:E46 L44:M45 L49:M49 L52:M52 D24:D25 L23:M24 D55:Y58"/>
    <dataValidation type="list" allowBlank="1" showInputMessage="1" showErrorMessage="1" sqref="H42:I42">
      <formula1>$AA$41:$AA$42</formula1>
    </dataValidation>
    <dataValidation type="list" allowBlank="1" showInputMessage="1" showErrorMessage="1" sqref="H39:I39">
      <formula1>$AA$38:$AA$39</formula1>
    </dataValidation>
  </dataValidations>
  <printOptions horizontalCentered="1" verticalCentered="1"/>
  <pageMargins left="0.59055118110236227" right="0.23622047244094491" top="0.31496062992125984" bottom="0.19685039370078741" header="0.19685039370078741" footer="0.23622047244094491"/>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31" r:id="rId4" name="Check Box 83">
              <controlPr defaultSize="0" autoFill="0" autoLine="0" autoPict="0">
                <anchor moveWithCells="1">
                  <from>
                    <xdr:col>26</xdr:col>
                    <xdr:colOff>219075</xdr:colOff>
                    <xdr:row>10</xdr:row>
                    <xdr:rowOff>0</xdr:rowOff>
                  </from>
                  <to>
                    <xdr:col>26</xdr:col>
                    <xdr:colOff>523875</xdr:colOff>
                    <xdr:row>11</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2060"/>
  </sheetPr>
  <dimension ref="A1:K126"/>
  <sheetViews>
    <sheetView showGridLines="0" showRowColHeaders="0" zoomScale="130" zoomScaleNormal="130" workbookViewId="0">
      <selection activeCell="A2" sqref="A2:B2"/>
    </sheetView>
  </sheetViews>
  <sheetFormatPr defaultColWidth="9" defaultRowHeight="18.75"/>
  <cols>
    <col min="1" max="1" width="7.25" style="99" bestFit="1" customWidth="1"/>
    <col min="2" max="2" width="4.5" style="97" bestFit="1" customWidth="1"/>
    <col min="3" max="9" width="9" style="97"/>
    <col min="10" max="16384" width="9" style="67"/>
  </cols>
  <sheetData>
    <row r="1" spans="1:9" ht="27" customHeight="1">
      <c r="A1" s="718" t="s">
        <v>174</v>
      </c>
      <c r="B1" s="718"/>
      <c r="C1" s="718"/>
      <c r="D1" s="718"/>
      <c r="E1" s="718"/>
      <c r="F1" s="718"/>
      <c r="G1" s="718"/>
      <c r="H1" s="718"/>
      <c r="I1" s="718"/>
    </row>
    <row r="2" spans="1:9" ht="31.5">
      <c r="A2" s="728"/>
      <c r="B2" s="729"/>
      <c r="C2" s="68" t="s">
        <v>241</v>
      </c>
      <c r="D2" s="68" t="s">
        <v>242</v>
      </c>
      <c r="E2" s="68" t="s">
        <v>243</v>
      </c>
      <c r="F2" s="68" t="s">
        <v>255</v>
      </c>
      <c r="G2" s="68" t="s">
        <v>244</v>
      </c>
      <c r="H2" s="68" t="s">
        <v>245</v>
      </c>
      <c r="I2" s="68" t="s">
        <v>246</v>
      </c>
    </row>
    <row r="3" spans="1:9" ht="14.25">
      <c r="A3" s="69">
        <v>0</v>
      </c>
      <c r="B3" s="70" t="s">
        <v>173</v>
      </c>
      <c r="C3" s="71">
        <v>0.8</v>
      </c>
      <c r="D3" s="71">
        <v>0.9</v>
      </c>
      <c r="E3" s="71">
        <v>0.9</v>
      </c>
      <c r="F3" s="71">
        <v>0.9</v>
      </c>
      <c r="G3" s="71">
        <v>0.9</v>
      </c>
      <c r="H3" s="71">
        <v>0.85</v>
      </c>
      <c r="I3" s="71">
        <v>0.85</v>
      </c>
    </row>
    <row r="4" spans="1:9" ht="14.25">
      <c r="A4" s="69">
        <v>4</v>
      </c>
      <c r="B4" s="70" t="s">
        <v>173</v>
      </c>
      <c r="C4" s="71">
        <v>0.8</v>
      </c>
      <c r="D4" s="71">
        <v>0.92</v>
      </c>
      <c r="E4" s="71">
        <v>0.92</v>
      </c>
      <c r="F4" s="71">
        <v>0.92</v>
      </c>
      <c r="G4" s="71">
        <v>0.92</v>
      </c>
      <c r="H4" s="71">
        <v>0.9</v>
      </c>
      <c r="I4" s="71">
        <v>0.9</v>
      </c>
    </row>
    <row r="5" spans="1:9" ht="14.25">
      <c r="A5" s="69">
        <v>6</v>
      </c>
      <c r="B5" s="70" t="s">
        <v>173</v>
      </c>
      <c r="C5" s="71">
        <v>0.84</v>
      </c>
      <c r="D5" s="71">
        <v>0.94</v>
      </c>
      <c r="E5" s="71">
        <v>0.95</v>
      </c>
      <c r="F5" s="71">
        <v>0.95</v>
      </c>
      <c r="G5" s="71">
        <v>0.95</v>
      </c>
      <c r="H5" s="71">
        <v>0.93</v>
      </c>
      <c r="I5" s="71">
        <v>0.93</v>
      </c>
    </row>
    <row r="6" spans="1:9" ht="14.25">
      <c r="A6" s="69">
        <v>8</v>
      </c>
      <c r="B6" s="70" t="s">
        <v>173</v>
      </c>
      <c r="C6" s="71">
        <v>0.88</v>
      </c>
      <c r="D6" s="71">
        <v>0.96</v>
      </c>
      <c r="E6" s="71">
        <v>0.97</v>
      </c>
      <c r="F6" s="71">
        <v>0.97</v>
      </c>
      <c r="G6" s="71">
        <v>0.97</v>
      </c>
      <c r="H6" s="71">
        <v>0.95</v>
      </c>
      <c r="I6" s="71">
        <v>0.95</v>
      </c>
    </row>
    <row r="7" spans="1:9" ht="14.25">
      <c r="A7" s="69">
        <v>10</v>
      </c>
      <c r="B7" s="70" t="s">
        <v>173</v>
      </c>
      <c r="C7" s="71">
        <v>0.9</v>
      </c>
      <c r="D7" s="71">
        <v>0.98</v>
      </c>
      <c r="E7" s="72">
        <v>0.99</v>
      </c>
      <c r="F7" s="71">
        <v>0.99</v>
      </c>
      <c r="G7" s="71">
        <v>1</v>
      </c>
      <c r="H7" s="71">
        <v>0.96</v>
      </c>
      <c r="I7" s="71">
        <v>0.96</v>
      </c>
    </row>
    <row r="8" spans="1:9" ht="14.25">
      <c r="A8" s="69">
        <v>12</v>
      </c>
      <c r="B8" s="70" t="s">
        <v>173</v>
      </c>
      <c r="C8" s="71">
        <v>0.91</v>
      </c>
      <c r="D8" s="71">
        <v>0.99</v>
      </c>
      <c r="E8" s="71">
        <v>1</v>
      </c>
      <c r="F8" s="71">
        <v>1</v>
      </c>
      <c r="G8" s="71">
        <v>1</v>
      </c>
      <c r="H8" s="71">
        <v>0.97</v>
      </c>
      <c r="I8" s="71">
        <v>0.97</v>
      </c>
    </row>
    <row r="9" spans="1:9" ht="14.25">
      <c r="A9" s="69">
        <v>14</v>
      </c>
      <c r="B9" s="70" t="s">
        <v>173</v>
      </c>
      <c r="C9" s="71">
        <v>0.92</v>
      </c>
      <c r="D9" s="71">
        <v>1</v>
      </c>
      <c r="E9" s="71">
        <v>1</v>
      </c>
      <c r="F9" s="71">
        <v>1</v>
      </c>
      <c r="G9" s="71">
        <v>1</v>
      </c>
      <c r="H9" s="71">
        <v>0.98</v>
      </c>
      <c r="I9" s="71">
        <v>0.98</v>
      </c>
    </row>
    <row r="10" spans="1:9" ht="14.25">
      <c r="A10" s="69">
        <v>16</v>
      </c>
      <c r="B10" s="70" t="s">
        <v>173</v>
      </c>
      <c r="C10" s="71">
        <v>0.93</v>
      </c>
      <c r="D10" s="71">
        <v>1</v>
      </c>
      <c r="E10" s="71">
        <v>1</v>
      </c>
      <c r="F10" s="71">
        <v>1</v>
      </c>
      <c r="G10" s="71">
        <v>1</v>
      </c>
      <c r="H10" s="71">
        <v>0.99</v>
      </c>
      <c r="I10" s="71">
        <v>0.99</v>
      </c>
    </row>
    <row r="11" spans="1:9" ht="14.25">
      <c r="A11" s="69">
        <v>20</v>
      </c>
      <c r="B11" s="70" t="s">
        <v>173</v>
      </c>
      <c r="C11" s="71">
        <v>0.94</v>
      </c>
      <c r="D11" s="71">
        <v>1</v>
      </c>
      <c r="E11" s="71">
        <v>1</v>
      </c>
      <c r="F11" s="71">
        <v>1</v>
      </c>
      <c r="G11" s="71">
        <v>1</v>
      </c>
      <c r="H11" s="71">
        <v>1</v>
      </c>
      <c r="I11" s="71">
        <v>1</v>
      </c>
    </row>
    <row r="12" spans="1:9" ht="14.25">
      <c r="A12" s="69">
        <v>24</v>
      </c>
      <c r="B12" s="70" t="s">
        <v>173</v>
      </c>
      <c r="C12" s="71">
        <v>0.95</v>
      </c>
      <c r="D12" s="71">
        <v>1</v>
      </c>
      <c r="E12" s="71">
        <v>1</v>
      </c>
      <c r="F12" s="71">
        <v>1</v>
      </c>
      <c r="G12" s="332">
        <v>0.97</v>
      </c>
      <c r="H12" s="71">
        <v>1</v>
      </c>
      <c r="I12" s="71">
        <v>1</v>
      </c>
    </row>
    <row r="13" spans="1:9" ht="14.25">
      <c r="A13" s="69">
        <v>28</v>
      </c>
      <c r="B13" s="70" t="s">
        <v>173</v>
      </c>
      <c r="C13" s="71">
        <v>0.96</v>
      </c>
      <c r="D13" s="71">
        <v>1</v>
      </c>
      <c r="E13" s="71">
        <v>0.98</v>
      </c>
      <c r="F13" s="71">
        <v>1</v>
      </c>
      <c r="G13" s="332">
        <v>0.95</v>
      </c>
      <c r="H13" s="71">
        <v>1</v>
      </c>
      <c r="I13" s="71">
        <v>1</v>
      </c>
    </row>
    <row r="14" spans="1:9" ht="14.25">
      <c r="A14" s="69">
        <v>32</v>
      </c>
      <c r="B14" s="70" t="s">
        <v>173</v>
      </c>
      <c r="C14" s="71">
        <v>0.97</v>
      </c>
      <c r="D14" s="71">
        <v>1</v>
      </c>
      <c r="E14" s="71">
        <v>0.96</v>
      </c>
      <c r="F14" s="332">
        <v>0.97</v>
      </c>
      <c r="G14" s="332">
        <v>0.93</v>
      </c>
      <c r="H14" s="71">
        <v>1</v>
      </c>
      <c r="I14" s="71">
        <v>1</v>
      </c>
    </row>
    <row r="15" spans="1:9" ht="14.25">
      <c r="A15" s="69">
        <v>36</v>
      </c>
      <c r="B15" s="70" t="s">
        <v>173</v>
      </c>
      <c r="C15" s="71">
        <v>0.98</v>
      </c>
      <c r="D15" s="71">
        <v>1</v>
      </c>
      <c r="E15" s="71">
        <v>0.94</v>
      </c>
      <c r="F15" s="332">
        <v>0.95</v>
      </c>
      <c r="G15" s="332">
        <v>0.92</v>
      </c>
      <c r="H15" s="71">
        <v>1</v>
      </c>
      <c r="I15" s="71">
        <v>1</v>
      </c>
    </row>
    <row r="16" spans="1:9" ht="14.25">
      <c r="A16" s="69">
        <v>40</v>
      </c>
      <c r="B16" s="70" t="s">
        <v>173</v>
      </c>
      <c r="C16" s="71">
        <v>0.99</v>
      </c>
      <c r="D16" s="71">
        <v>1</v>
      </c>
      <c r="E16" s="71">
        <v>0.92</v>
      </c>
      <c r="F16" s="332">
        <v>0.93</v>
      </c>
      <c r="G16" s="332">
        <v>0.91</v>
      </c>
      <c r="H16" s="71">
        <v>1</v>
      </c>
      <c r="I16" s="71">
        <v>1</v>
      </c>
    </row>
    <row r="17" spans="1:9" ht="14.25">
      <c r="A17" s="69">
        <v>44</v>
      </c>
      <c r="B17" s="70" t="s">
        <v>173</v>
      </c>
      <c r="C17" s="71">
        <v>1</v>
      </c>
      <c r="D17" s="71">
        <v>1</v>
      </c>
      <c r="E17" s="71">
        <v>0.9</v>
      </c>
      <c r="F17" s="332">
        <v>0.91</v>
      </c>
      <c r="G17" s="332">
        <v>0.9</v>
      </c>
      <c r="H17" s="71">
        <v>1</v>
      </c>
      <c r="I17" s="71">
        <v>1</v>
      </c>
    </row>
    <row r="18" spans="1:9" ht="14.25">
      <c r="A18" s="69">
        <v>48</v>
      </c>
      <c r="B18" s="70" t="s">
        <v>173</v>
      </c>
      <c r="C18" s="71">
        <v>1</v>
      </c>
      <c r="D18" s="71">
        <v>0.99</v>
      </c>
      <c r="E18" s="71">
        <v>0.88</v>
      </c>
      <c r="F18" s="332">
        <v>0.89</v>
      </c>
      <c r="G18" s="332">
        <v>0.89</v>
      </c>
      <c r="H18" s="71">
        <v>1</v>
      </c>
      <c r="I18" s="71">
        <v>1</v>
      </c>
    </row>
    <row r="19" spans="1:9" ht="14.25">
      <c r="A19" s="69">
        <v>52</v>
      </c>
      <c r="B19" s="70" t="s">
        <v>173</v>
      </c>
      <c r="C19" s="71">
        <v>1</v>
      </c>
      <c r="D19" s="71">
        <v>0.98</v>
      </c>
      <c r="E19" s="71">
        <v>0.87</v>
      </c>
      <c r="F19" s="71">
        <v>0.88</v>
      </c>
      <c r="G19" s="71">
        <v>0.88</v>
      </c>
      <c r="H19" s="71">
        <v>1</v>
      </c>
      <c r="I19" s="71">
        <v>1</v>
      </c>
    </row>
    <row r="20" spans="1:9" ht="14.25">
      <c r="A20" s="69">
        <v>56</v>
      </c>
      <c r="B20" s="70" t="s">
        <v>173</v>
      </c>
      <c r="C20" s="71">
        <v>1</v>
      </c>
      <c r="D20" s="71">
        <v>0.97</v>
      </c>
      <c r="E20" s="71">
        <v>0.86</v>
      </c>
      <c r="F20" s="71">
        <v>0.87</v>
      </c>
      <c r="G20" s="71">
        <v>0.87</v>
      </c>
      <c r="H20" s="71">
        <v>1</v>
      </c>
      <c r="I20" s="71">
        <v>1</v>
      </c>
    </row>
    <row r="21" spans="1:9" ht="14.25">
      <c r="A21" s="69">
        <v>60</v>
      </c>
      <c r="B21" s="70" t="s">
        <v>173</v>
      </c>
      <c r="C21" s="71">
        <v>1</v>
      </c>
      <c r="D21" s="71">
        <v>0.96</v>
      </c>
      <c r="E21" s="71">
        <v>0.85</v>
      </c>
      <c r="F21" s="71">
        <v>0.86</v>
      </c>
      <c r="G21" s="71">
        <v>0.86</v>
      </c>
      <c r="H21" s="71">
        <v>0.99</v>
      </c>
      <c r="I21" s="71">
        <v>1</v>
      </c>
    </row>
    <row r="22" spans="1:9" ht="14.25">
      <c r="A22" s="69">
        <v>64</v>
      </c>
      <c r="B22" s="70" t="s">
        <v>173</v>
      </c>
      <c r="C22" s="71">
        <v>1</v>
      </c>
      <c r="D22" s="71">
        <v>0.95</v>
      </c>
      <c r="E22" s="71">
        <v>0.84</v>
      </c>
      <c r="F22" s="71">
        <v>0.85</v>
      </c>
      <c r="G22" s="71">
        <v>0.85</v>
      </c>
      <c r="H22" s="71">
        <v>0.98</v>
      </c>
      <c r="I22" s="71">
        <v>1</v>
      </c>
    </row>
    <row r="23" spans="1:9" ht="14.25">
      <c r="A23" s="69">
        <v>68</v>
      </c>
      <c r="B23" s="70" t="s">
        <v>173</v>
      </c>
      <c r="C23" s="71">
        <v>1</v>
      </c>
      <c r="D23" s="71">
        <v>0.94</v>
      </c>
      <c r="E23" s="71">
        <v>0.83</v>
      </c>
      <c r="F23" s="71">
        <v>0.84</v>
      </c>
      <c r="G23" s="71">
        <v>0.84</v>
      </c>
      <c r="H23" s="71">
        <v>0.97</v>
      </c>
      <c r="I23" s="71">
        <v>1</v>
      </c>
    </row>
    <row r="24" spans="1:9" ht="14.25">
      <c r="A24" s="69">
        <v>72</v>
      </c>
      <c r="B24" s="70" t="s">
        <v>173</v>
      </c>
      <c r="C24" s="71">
        <v>1</v>
      </c>
      <c r="D24" s="71">
        <v>0.93</v>
      </c>
      <c r="E24" s="71">
        <v>0.82</v>
      </c>
      <c r="F24" s="71">
        <v>0.83</v>
      </c>
      <c r="G24" s="71">
        <v>0.83</v>
      </c>
      <c r="H24" s="71">
        <v>0.96</v>
      </c>
      <c r="I24" s="71">
        <v>1</v>
      </c>
    </row>
    <row r="25" spans="1:9" ht="14.25">
      <c r="A25" s="69">
        <v>76</v>
      </c>
      <c r="B25" s="70" t="s">
        <v>173</v>
      </c>
      <c r="C25" s="71">
        <v>1</v>
      </c>
      <c r="D25" s="71">
        <v>0.92</v>
      </c>
      <c r="E25" s="71">
        <v>0.81</v>
      </c>
      <c r="F25" s="71">
        <v>0.82</v>
      </c>
      <c r="G25" s="71">
        <v>0.83</v>
      </c>
      <c r="H25" s="71">
        <v>0.96</v>
      </c>
      <c r="I25" s="71">
        <v>1</v>
      </c>
    </row>
    <row r="26" spans="1:9" ht="14.25">
      <c r="A26" s="69">
        <v>80</v>
      </c>
      <c r="B26" s="70" t="s">
        <v>173</v>
      </c>
      <c r="C26" s="71">
        <v>1</v>
      </c>
      <c r="D26" s="71">
        <v>0.9</v>
      </c>
      <c r="E26" s="71">
        <v>0.8</v>
      </c>
      <c r="F26" s="71">
        <v>0.81</v>
      </c>
      <c r="G26" s="71">
        <v>0.82</v>
      </c>
      <c r="H26" s="71">
        <v>0.93</v>
      </c>
      <c r="I26" s="71">
        <v>1</v>
      </c>
    </row>
    <row r="27" spans="1:9" ht="14.25">
      <c r="A27" s="69">
        <v>84</v>
      </c>
      <c r="B27" s="70" t="s">
        <v>173</v>
      </c>
      <c r="C27" s="71">
        <v>1</v>
      </c>
      <c r="D27" s="71">
        <v>0.88</v>
      </c>
      <c r="E27" s="71">
        <v>0.8</v>
      </c>
      <c r="F27" s="71">
        <v>0.8</v>
      </c>
      <c r="G27" s="71">
        <v>0.82</v>
      </c>
      <c r="H27" s="71">
        <v>0.93</v>
      </c>
      <c r="I27" s="71">
        <v>1</v>
      </c>
    </row>
    <row r="28" spans="1:9" ht="14.25">
      <c r="A28" s="69">
        <v>88</v>
      </c>
      <c r="B28" s="70" t="s">
        <v>173</v>
      </c>
      <c r="C28" s="71">
        <v>1</v>
      </c>
      <c r="D28" s="71">
        <v>0.86</v>
      </c>
      <c r="E28" s="71">
        <v>0.8</v>
      </c>
      <c r="F28" s="71">
        <v>0.8</v>
      </c>
      <c r="G28" s="71">
        <v>0.81</v>
      </c>
      <c r="H28" s="71">
        <v>0.9</v>
      </c>
      <c r="I28" s="71">
        <v>1</v>
      </c>
    </row>
    <row r="29" spans="1:9" ht="14.25">
      <c r="A29" s="69">
        <v>92</v>
      </c>
      <c r="B29" s="70" t="s">
        <v>173</v>
      </c>
      <c r="C29" s="71">
        <v>0.99</v>
      </c>
      <c r="D29" s="71">
        <v>0.84</v>
      </c>
      <c r="E29" s="71">
        <v>0.8</v>
      </c>
      <c r="F29" s="71">
        <v>0.8</v>
      </c>
      <c r="G29" s="71">
        <v>0.81</v>
      </c>
      <c r="H29" s="71">
        <v>0.9</v>
      </c>
      <c r="I29" s="71">
        <v>1</v>
      </c>
    </row>
    <row r="30" spans="1:9" ht="14.25">
      <c r="A30" s="69">
        <v>96</v>
      </c>
      <c r="B30" s="70" t="s">
        <v>173</v>
      </c>
      <c r="C30" s="71">
        <v>0.97</v>
      </c>
      <c r="D30" s="71">
        <v>0.82</v>
      </c>
      <c r="E30" s="71">
        <v>0.8</v>
      </c>
      <c r="F30" s="71">
        <v>0.8</v>
      </c>
      <c r="G30" s="71">
        <v>0.81</v>
      </c>
      <c r="H30" s="71">
        <v>0.9</v>
      </c>
      <c r="I30" s="71">
        <v>1</v>
      </c>
    </row>
    <row r="31" spans="1:9" ht="14.25">
      <c r="A31" s="69">
        <v>100</v>
      </c>
      <c r="B31" s="70" t="s">
        <v>173</v>
      </c>
      <c r="C31" s="71">
        <v>0.95</v>
      </c>
      <c r="D31" s="71">
        <v>0.8</v>
      </c>
      <c r="E31" s="71">
        <v>0.8</v>
      </c>
      <c r="F31" s="71">
        <v>0.8</v>
      </c>
      <c r="G31" s="71">
        <v>0.8</v>
      </c>
      <c r="H31" s="71">
        <v>0.9</v>
      </c>
      <c r="I31" s="71">
        <v>1</v>
      </c>
    </row>
    <row r="32" spans="1:9">
      <c r="E32" s="261"/>
      <c r="F32" s="732" t="s">
        <v>600</v>
      </c>
      <c r="G32" s="732"/>
      <c r="H32" s="732"/>
      <c r="I32" s="732"/>
    </row>
    <row r="33" spans="1:9" ht="27.75" customHeight="1">
      <c r="A33" s="718" t="s">
        <v>181</v>
      </c>
      <c r="B33" s="718"/>
      <c r="C33" s="718"/>
      <c r="D33" s="718"/>
      <c r="E33" s="718"/>
      <c r="F33" s="718"/>
      <c r="G33" s="718"/>
      <c r="H33" s="718"/>
      <c r="I33" s="718"/>
    </row>
    <row r="34" spans="1:9" ht="31.5">
      <c r="A34" s="728"/>
      <c r="B34" s="729"/>
      <c r="C34" s="68" t="s">
        <v>247</v>
      </c>
      <c r="D34" s="68" t="s">
        <v>242</v>
      </c>
      <c r="E34" s="68" t="s">
        <v>243</v>
      </c>
      <c r="F34" s="68" t="s">
        <v>255</v>
      </c>
      <c r="G34" s="68" t="s">
        <v>244</v>
      </c>
      <c r="H34" s="68" t="s">
        <v>234</v>
      </c>
      <c r="I34" s="68" t="s">
        <v>248</v>
      </c>
    </row>
    <row r="35" spans="1:9" ht="18" customHeight="1">
      <c r="A35" s="73" t="s">
        <v>175</v>
      </c>
      <c r="B35" s="74"/>
      <c r="C35" s="75">
        <v>7.0000000000000007E-2</v>
      </c>
      <c r="D35" s="75">
        <v>0.1</v>
      </c>
      <c r="E35" s="75">
        <v>0.1</v>
      </c>
      <c r="F35" s="75">
        <v>0.08</v>
      </c>
      <c r="G35" s="75">
        <v>0.03</v>
      </c>
      <c r="H35" s="75">
        <v>0.03</v>
      </c>
      <c r="I35" s="75">
        <v>0.02</v>
      </c>
    </row>
    <row r="36" spans="1:9" ht="18" customHeight="1">
      <c r="A36" s="76" t="s">
        <v>176</v>
      </c>
      <c r="B36" s="74"/>
      <c r="C36" s="77">
        <v>0.03</v>
      </c>
      <c r="D36" s="77">
        <v>0.05</v>
      </c>
      <c r="E36" s="77">
        <v>0.05</v>
      </c>
      <c r="F36" s="77">
        <v>0.04</v>
      </c>
      <c r="G36" s="77">
        <v>0.02</v>
      </c>
      <c r="H36" s="77">
        <v>0.02</v>
      </c>
      <c r="I36" s="77">
        <v>0.01</v>
      </c>
    </row>
    <row r="37" spans="1:9" ht="17.25" customHeight="1">
      <c r="A37" s="76" t="s">
        <v>177</v>
      </c>
      <c r="B37" s="74"/>
      <c r="C37" s="77">
        <v>0.03</v>
      </c>
      <c r="D37" s="77">
        <v>7.0000000000000007E-2</v>
      </c>
      <c r="E37" s="77">
        <v>7.0000000000000007E-2</v>
      </c>
      <c r="F37" s="77">
        <v>0.05</v>
      </c>
      <c r="G37" s="77">
        <v>0.02</v>
      </c>
      <c r="H37" s="77">
        <v>0.02</v>
      </c>
      <c r="I37" s="77">
        <v>0.02</v>
      </c>
    </row>
    <row r="39" spans="1:9" ht="25.5" customHeight="1">
      <c r="A39" s="730" t="s">
        <v>178</v>
      </c>
      <c r="B39" s="730"/>
      <c r="C39" s="730"/>
      <c r="D39" s="730"/>
      <c r="E39" s="730"/>
      <c r="F39" s="730"/>
      <c r="G39" s="730"/>
      <c r="H39" s="730"/>
      <c r="I39" s="730"/>
    </row>
    <row r="40" spans="1:9" ht="18" customHeight="1">
      <c r="A40" s="731"/>
      <c r="B40" s="731"/>
      <c r="C40" s="68" t="s">
        <v>247</v>
      </c>
      <c r="D40" s="68" t="s">
        <v>242</v>
      </c>
      <c r="E40" s="68" t="s">
        <v>243</v>
      </c>
      <c r="F40" s="68" t="s">
        <v>255</v>
      </c>
      <c r="G40" s="68" t="s">
        <v>244</v>
      </c>
      <c r="H40" s="68" t="s">
        <v>245</v>
      </c>
      <c r="I40" s="68" t="s">
        <v>235</v>
      </c>
    </row>
    <row r="41" spans="1:9" ht="14.25">
      <c r="A41" s="69">
        <v>0</v>
      </c>
      <c r="B41" s="78" t="s">
        <v>173</v>
      </c>
      <c r="C41" s="75">
        <v>1</v>
      </c>
      <c r="D41" s="79">
        <v>0.85</v>
      </c>
      <c r="E41" s="71">
        <v>0.9</v>
      </c>
      <c r="F41" s="71">
        <v>0.9</v>
      </c>
      <c r="G41" s="71">
        <v>0.9</v>
      </c>
      <c r="H41" s="71">
        <v>0.8</v>
      </c>
      <c r="I41" s="71">
        <v>0.8</v>
      </c>
    </row>
    <row r="42" spans="1:9" ht="14.25">
      <c r="A42" s="69">
        <v>4</v>
      </c>
      <c r="B42" s="78" t="s">
        <v>173</v>
      </c>
      <c r="C42" s="75">
        <v>1</v>
      </c>
      <c r="D42" s="79">
        <v>0.94</v>
      </c>
      <c r="E42" s="71">
        <v>1</v>
      </c>
      <c r="F42" s="71">
        <v>0.97</v>
      </c>
      <c r="G42" s="79">
        <v>0.94</v>
      </c>
      <c r="H42" s="71">
        <v>0.85</v>
      </c>
      <c r="I42" s="71">
        <v>0.85</v>
      </c>
    </row>
    <row r="43" spans="1:9" ht="14.25">
      <c r="A43" s="69">
        <v>6</v>
      </c>
      <c r="B43" s="78" t="s">
        <v>173</v>
      </c>
      <c r="C43" s="75">
        <v>1</v>
      </c>
      <c r="D43" s="79">
        <v>0.97</v>
      </c>
      <c r="E43" s="71">
        <v>1</v>
      </c>
      <c r="F43" s="71">
        <v>1</v>
      </c>
      <c r="G43" s="79">
        <v>0.97</v>
      </c>
      <c r="H43" s="71">
        <v>0.9</v>
      </c>
      <c r="I43" s="71">
        <v>0.9</v>
      </c>
    </row>
    <row r="44" spans="1:9" ht="14.25">
      <c r="A44" s="69">
        <v>8</v>
      </c>
      <c r="B44" s="78" t="s">
        <v>173</v>
      </c>
      <c r="C44" s="75">
        <v>0.95</v>
      </c>
      <c r="D44" s="71">
        <v>1</v>
      </c>
      <c r="E44" s="71">
        <v>1</v>
      </c>
      <c r="F44" s="71">
        <v>1</v>
      </c>
      <c r="G44" s="71">
        <v>1</v>
      </c>
      <c r="H44" s="71">
        <v>0.95</v>
      </c>
      <c r="I44" s="71">
        <v>0.95</v>
      </c>
    </row>
    <row r="45" spans="1:9" ht="14.25">
      <c r="A45" s="69">
        <v>10</v>
      </c>
      <c r="B45" s="78" t="s">
        <v>173</v>
      </c>
      <c r="C45" s="71">
        <v>0.97</v>
      </c>
      <c r="D45" s="71">
        <v>1</v>
      </c>
      <c r="E45" s="71">
        <v>1</v>
      </c>
      <c r="F45" s="71">
        <v>1</v>
      </c>
      <c r="G45" s="71">
        <v>1</v>
      </c>
      <c r="H45" s="71">
        <v>1</v>
      </c>
      <c r="I45" s="71">
        <v>0.97</v>
      </c>
    </row>
    <row r="46" spans="1:9" ht="14.25">
      <c r="A46" s="69">
        <v>16</v>
      </c>
      <c r="B46" s="78" t="s">
        <v>173</v>
      </c>
      <c r="C46" s="71">
        <v>0.98</v>
      </c>
      <c r="D46" s="71">
        <v>1</v>
      </c>
      <c r="E46" s="71">
        <v>1</v>
      </c>
      <c r="F46" s="71">
        <v>1</v>
      </c>
      <c r="G46" s="71">
        <v>1</v>
      </c>
      <c r="H46" s="71">
        <v>1</v>
      </c>
      <c r="I46" s="71">
        <v>0.98</v>
      </c>
    </row>
    <row r="47" spans="1:9" ht="14.25">
      <c r="A47" s="69">
        <v>22</v>
      </c>
      <c r="B47" s="78" t="s">
        <v>173</v>
      </c>
      <c r="C47" s="71">
        <v>0.99</v>
      </c>
      <c r="D47" s="71">
        <v>1</v>
      </c>
      <c r="E47" s="71">
        <v>1</v>
      </c>
      <c r="F47" s="71">
        <v>1</v>
      </c>
      <c r="G47" s="71">
        <v>1</v>
      </c>
      <c r="H47" s="71">
        <v>1</v>
      </c>
      <c r="I47" s="71">
        <v>0.99</v>
      </c>
    </row>
    <row r="48" spans="1:9" ht="14.25">
      <c r="A48" s="69">
        <v>28</v>
      </c>
      <c r="B48" s="78" t="s">
        <v>173</v>
      </c>
      <c r="C48" s="71">
        <v>1</v>
      </c>
      <c r="D48" s="71">
        <v>1</v>
      </c>
      <c r="E48" s="71">
        <v>1</v>
      </c>
      <c r="F48" s="71">
        <v>1</v>
      </c>
      <c r="G48" s="71">
        <v>1</v>
      </c>
      <c r="H48" s="71">
        <v>1</v>
      </c>
      <c r="I48" s="71">
        <v>1</v>
      </c>
    </row>
    <row r="49" spans="1:9" ht="14.25">
      <c r="A49" s="80"/>
      <c r="B49" s="81"/>
      <c r="C49" s="82"/>
      <c r="D49" s="82"/>
      <c r="E49" s="82"/>
      <c r="F49" s="82"/>
      <c r="G49" s="82"/>
      <c r="H49" s="82"/>
      <c r="I49" s="82"/>
    </row>
    <row r="50" spans="1:9" ht="22.5" customHeight="1">
      <c r="A50" s="724" t="s">
        <v>179</v>
      </c>
      <c r="B50" s="724"/>
      <c r="C50" s="724"/>
      <c r="D50" s="724"/>
      <c r="E50" s="724"/>
      <c r="F50" s="724"/>
      <c r="G50" s="724"/>
      <c r="H50" s="724"/>
      <c r="I50" s="724"/>
    </row>
    <row r="51" spans="1:9" ht="24" customHeight="1">
      <c r="A51" s="725"/>
      <c r="B51" s="725"/>
      <c r="C51" s="68" t="s">
        <v>249</v>
      </c>
      <c r="D51" s="83" t="s">
        <v>242</v>
      </c>
      <c r="E51" s="68" t="s">
        <v>243</v>
      </c>
      <c r="F51" s="68" t="s">
        <v>256</v>
      </c>
      <c r="G51" s="68" t="s">
        <v>244</v>
      </c>
      <c r="H51" s="68" t="s">
        <v>234</v>
      </c>
      <c r="I51" s="68" t="s">
        <v>250</v>
      </c>
    </row>
    <row r="52" spans="1:9" ht="15" customHeight="1">
      <c r="A52" s="69">
        <v>0</v>
      </c>
      <c r="B52" s="78" t="s">
        <v>173</v>
      </c>
      <c r="C52" s="71">
        <v>1</v>
      </c>
      <c r="D52" s="71">
        <v>1</v>
      </c>
      <c r="E52" s="71">
        <v>1</v>
      </c>
      <c r="F52" s="71">
        <v>1</v>
      </c>
      <c r="G52" s="71">
        <v>1</v>
      </c>
      <c r="H52" s="71">
        <v>1</v>
      </c>
      <c r="I52" s="71">
        <v>1</v>
      </c>
    </row>
    <row r="53" spans="1:9" ht="14.25">
      <c r="A53" s="69">
        <v>2</v>
      </c>
      <c r="B53" s="78" t="s">
        <v>173</v>
      </c>
      <c r="C53" s="71">
        <v>1</v>
      </c>
      <c r="D53" s="71">
        <v>1</v>
      </c>
      <c r="E53" s="71">
        <v>1</v>
      </c>
      <c r="F53" s="84">
        <v>1</v>
      </c>
      <c r="G53" s="71">
        <v>0.98</v>
      </c>
      <c r="H53" s="85">
        <v>1</v>
      </c>
      <c r="I53" s="71">
        <v>1</v>
      </c>
    </row>
    <row r="54" spans="1:9" ht="14.25">
      <c r="A54" s="69">
        <v>3</v>
      </c>
      <c r="B54" s="78" t="s">
        <v>173</v>
      </c>
      <c r="C54" s="71">
        <v>1</v>
      </c>
      <c r="D54" s="71">
        <v>0.99</v>
      </c>
      <c r="E54" s="71">
        <v>0.99</v>
      </c>
      <c r="F54" s="84">
        <v>0.99</v>
      </c>
      <c r="G54" s="183">
        <v>0.96</v>
      </c>
      <c r="H54" s="86">
        <v>0.99</v>
      </c>
      <c r="I54" s="71">
        <v>1</v>
      </c>
    </row>
    <row r="55" spans="1:9" ht="14.25">
      <c r="A55" s="69">
        <v>4</v>
      </c>
      <c r="B55" s="78" t="s">
        <v>173</v>
      </c>
      <c r="C55" s="71">
        <v>1</v>
      </c>
      <c r="D55" s="71">
        <v>0.98</v>
      </c>
      <c r="E55" s="71">
        <v>0.98</v>
      </c>
      <c r="F55" s="84">
        <v>0.98</v>
      </c>
      <c r="G55" s="71">
        <v>0.94</v>
      </c>
      <c r="H55" s="86">
        <v>0.98</v>
      </c>
      <c r="I55" s="71">
        <v>1</v>
      </c>
    </row>
    <row r="56" spans="1:9" ht="14.25">
      <c r="A56" s="69">
        <v>5</v>
      </c>
      <c r="B56" s="78" t="s">
        <v>173</v>
      </c>
      <c r="C56" s="71">
        <v>1</v>
      </c>
      <c r="D56" s="71">
        <v>0.96</v>
      </c>
      <c r="E56" s="71">
        <v>0.96</v>
      </c>
      <c r="F56" s="84">
        <v>0.96</v>
      </c>
      <c r="G56" s="71">
        <v>0.92</v>
      </c>
      <c r="H56" s="86">
        <v>0.96</v>
      </c>
      <c r="I56" s="71">
        <v>1</v>
      </c>
    </row>
    <row r="57" spans="1:9" ht="14.25">
      <c r="A57" s="87">
        <v>6</v>
      </c>
      <c r="B57" s="78" t="s">
        <v>173</v>
      </c>
      <c r="C57" s="71">
        <v>1</v>
      </c>
      <c r="D57" s="71">
        <v>0.94</v>
      </c>
      <c r="E57" s="71">
        <v>0.94</v>
      </c>
      <c r="F57" s="84">
        <v>0.94</v>
      </c>
      <c r="G57" s="71">
        <v>0.9</v>
      </c>
      <c r="H57" s="86">
        <v>0.94</v>
      </c>
      <c r="I57" s="71">
        <v>1</v>
      </c>
    </row>
    <row r="58" spans="1:9" ht="14.25">
      <c r="A58" s="87">
        <v>7</v>
      </c>
      <c r="B58" s="78" t="s">
        <v>173</v>
      </c>
      <c r="C58" s="71">
        <v>1</v>
      </c>
      <c r="D58" s="71">
        <v>0.92</v>
      </c>
      <c r="E58" s="71">
        <v>0.92</v>
      </c>
      <c r="F58" s="84">
        <v>0.92</v>
      </c>
      <c r="G58" s="71">
        <v>0.9</v>
      </c>
      <c r="H58" s="86">
        <v>0.92</v>
      </c>
      <c r="I58" s="71">
        <v>1</v>
      </c>
    </row>
    <row r="59" spans="1:9" ht="14.25" customHeight="1">
      <c r="A59" s="88">
        <v>8</v>
      </c>
      <c r="B59" s="78" t="s">
        <v>173</v>
      </c>
      <c r="C59" s="71">
        <v>1</v>
      </c>
      <c r="D59" s="89">
        <v>0.9</v>
      </c>
      <c r="E59" s="89">
        <v>0.9</v>
      </c>
      <c r="F59" s="89">
        <v>0.9</v>
      </c>
      <c r="G59" s="71">
        <v>0.9</v>
      </c>
      <c r="H59" s="71">
        <v>0.9</v>
      </c>
      <c r="I59" s="71">
        <v>1</v>
      </c>
    </row>
    <row r="60" spans="1:9" ht="14.25" customHeight="1">
      <c r="A60" s="90"/>
      <c r="B60" s="81"/>
      <c r="C60" s="82"/>
      <c r="D60" s="82"/>
      <c r="E60" s="82"/>
      <c r="F60" s="82"/>
      <c r="G60" s="82"/>
      <c r="H60" s="82"/>
      <c r="I60" s="82"/>
    </row>
    <row r="61" spans="1:9" ht="22.5" customHeight="1">
      <c r="A61" s="724" t="s">
        <v>195</v>
      </c>
      <c r="B61" s="724"/>
      <c r="C61" s="724"/>
      <c r="D61" s="724"/>
      <c r="E61" s="724"/>
      <c r="F61" s="724"/>
      <c r="G61" s="724"/>
      <c r="H61" s="724"/>
      <c r="I61" s="724"/>
    </row>
    <row r="62" spans="1:9" ht="24" customHeight="1">
      <c r="A62" s="725"/>
      <c r="B62" s="725"/>
      <c r="C62" s="68" t="s">
        <v>251</v>
      </c>
      <c r="D62" s="83" t="s">
        <v>242</v>
      </c>
      <c r="E62" s="68" t="s">
        <v>243</v>
      </c>
      <c r="F62" s="68" t="s">
        <v>255</v>
      </c>
      <c r="G62" s="68" t="s">
        <v>244</v>
      </c>
      <c r="H62" s="68" t="s">
        <v>245</v>
      </c>
      <c r="I62" s="68" t="s">
        <v>252</v>
      </c>
    </row>
    <row r="63" spans="1:9" ht="15" customHeight="1">
      <c r="A63" s="69">
        <v>0</v>
      </c>
      <c r="B63" s="78" t="s">
        <v>173</v>
      </c>
      <c r="C63" s="71"/>
      <c r="D63" s="71" t="s">
        <v>187</v>
      </c>
      <c r="E63" s="71" t="s">
        <v>187</v>
      </c>
      <c r="F63" s="71" t="s">
        <v>187</v>
      </c>
      <c r="G63" s="71" t="s">
        <v>187</v>
      </c>
      <c r="H63" s="71" t="s">
        <v>187</v>
      </c>
      <c r="I63" s="71"/>
    </row>
    <row r="64" spans="1:9" ht="15" customHeight="1">
      <c r="A64" s="69">
        <v>450</v>
      </c>
      <c r="B64" s="78" t="s">
        <v>173</v>
      </c>
      <c r="C64" s="71"/>
      <c r="D64" s="71" t="s">
        <v>187</v>
      </c>
      <c r="E64" s="71" t="s">
        <v>191</v>
      </c>
      <c r="F64" s="84" t="s">
        <v>187</v>
      </c>
      <c r="G64" s="71" t="s">
        <v>187</v>
      </c>
      <c r="H64" s="71" t="s">
        <v>187</v>
      </c>
      <c r="I64" s="71"/>
    </row>
    <row r="65" spans="1:9" ht="15" customHeight="1">
      <c r="A65" s="69">
        <v>500</v>
      </c>
      <c r="B65" s="78" t="s">
        <v>173</v>
      </c>
      <c r="C65" s="71"/>
      <c r="D65" s="71" t="s">
        <v>187</v>
      </c>
      <c r="E65" s="71" t="s">
        <v>191</v>
      </c>
      <c r="F65" s="84" t="s">
        <v>187</v>
      </c>
      <c r="G65" s="71" t="s">
        <v>191</v>
      </c>
      <c r="H65" s="71" t="s">
        <v>187</v>
      </c>
      <c r="I65" s="71"/>
    </row>
    <row r="66" spans="1:9" ht="15" customHeight="1">
      <c r="A66" s="69">
        <v>650</v>
      </c>
      <c r="B66" s="78" t="s">
        <v>173</v>
      </c>
      <c r="C66" s="71"/>
      <c r="D66" s="71" t="s">
        <v>187</v>
      </c>
      <c r="E66" s="71" t="s">
        <v>191</v>
      </c>
      <c r="F66" s="84" t="s">
        <v>193</v>
      </c>
      <c r="G66" s="71" t="s">
        <v>191</v>
      </c>
      <c r="H66" s="71" t="s">
        <v>187</v>
      </c>
      <c r="I66" s="71"/>
    </row>
    <row r="67" spans="1:9" ht="15" customHeight="1">
      <c r="A67" s="69">
        <v>700</v>
      </c>
      <c r="B67" s="78" t="s">
        <v>173</v>
      </c>
      <c r="C67" s="71"/>
      <c r="D67" s="71" t="s">
        <v>187</v>
      </c>
      <c r="E67" s="71" t="s">
        <v>189</v>
      </c>
      <c r="F67" s="84" t="s">
        <v>191</v>
      </c>
      <c r="G67" s="71" t="s">
        <v>191</v>
      </c>
      <c r="H67" s="71" t="s">
        <v>187</v>
      </c>
      <c r="I67" s="71"/>
    </row>
    <row r="68" spans="1:9" ht="15" customHeight="1">
      <c r="A68" s="69">
        <v>750</v>
      </c>
      <c r="B68" s="78" t="s">
        <v>173</v>
      </c>
      <c r="C68" s="71"/>
      <c r="D68" s="71" t="s">
        <v>187</v>
      </c>
      <c r="E68" s="71" t="s">
        <v>190</v>
      </c>
      <c r="F68" s="84" t="s">
        <v>188</v>
      </c>
      <c r="G68" s="71" t="s">
        <v>190</v>
      </c>
      <c r="H68" s="71" t="s">
        <v>187</v>
      </c>
      <c r="I68" s="71"/>
    </row>
    <row r="69" spans="1:9" ht="15" customHeight="1">
      <c r="A69" s="91">
        <v>1000</v>
      </c>
      <c r="B69" s="78" t="s">
        <v>173</v>
      </c>
      <c r="C69" s="71"/>
      <c r="D69" s="71" t="s">
        <v>188</v>
      </c>
      <c r="E69" s="71" t="s">
        <v>192</v>
      </c>
      <c r="F69" s="84" t="s">
        <v>189</v>
      </c>
      <c r="G69" s="71" t="s">
        <v>190</v>
      </c>
      <c r="H69" s="71" t="s">
        <v>187</v>
      </c>
      <c r="I69" s="71"/>
    </row>
    <row r="70" spans="1:9" ht="15" customHeight="1">
      <c r="A70" s="91">
        <v>1500</v>
      </c>
      <c r="B70" s="78" t="s">
        <v>173</v>
      </c>
      <c r="C70" s="71"/>
      <c r="D70" s="71" t="s">
        <v>189</v>
      </c>
      <c r="E70" s="71" t="s">
        <v>190</v>
      </c>
      <c r="F70" s="84" t="s">
        <v>190</v>
      </c>
      <c r="G70" s="71" t="s">
        <v>190</v>
      </c>
      <c r="H70" s="71" t="s">
        <v>187</v>
      </c>
      <c r="I70" s="71"/>
    </row>
    <row r="71" spans="1:9" ht="15" customHeight="1">
      <c r="A71" s="92">
        <v>3500</v>
      </c>
      <c r="B71" s="78" t="s">
        <v>173</v>
      </c>
      <c r="C71" s="71"/>
      <c r="D71" s="89" t="s">
        <v>190</v>
      </c>
      <c r="E71" s="89" t="s">
        <v>190</v>
      </c>
      <c r="F71" s="93" t="s">
        <v>190</v>
      </c>
      <c r="G71" s="71" t="s">
        <v>190</v>
      </c>
      <c r="H71" s="86" t="s">
        <v>191</v>
      </c>
      <c r="I71" s="71"/>
    </row>
    <row r="72" spans="1:9" ht="15" customHeight="1">
      <c r="A72" s="92">
        <v>5000</v>
      </c>
      <c r="B72" s="78" t="s">
        <v>173</v>
      </c>
      <c r="C72" s="71"/>
      <c r="D72" s="89" t="s">
        <v>190</v>
      </c>
      <c r="E72" s="89" t="s">
        <v>190</v>
      </c>
      <c r="F72" s="89" t="s">
        <v>190</v>
      </c>
      <c r="G72" s="71" t="s">
        <v>190</v>
      </c>
      <c r="H72" s="71" t="s">
        <v>190</v>
      </c>
      <c r="I72" s="71"/>
    </row>
    <row r="73" spans="1:9" ht="14.25" customHeight="1">
      <c r="A73" s="82"/>
      <c r="B73" s="82"/>
      <c r="C73" s="82"/>
      <c r="D73" s="82"/>
      <c r="E73" s="82"/>
      <c r="F73" s="82"/>
      <c r="G73" s="82"/>
      <c r="H73" s="82"/>
      <c r="I73" s="82"/>
    </row>
    <row r="74" spans="1:9" ht="22.5" customHeight="1">
      <c r="A74" s="718" t="s">
        <v>194</v>
      </c>
      <c r="B74" s="718"/>
      <c r="C74" s="718"/>
      <c r="D74" s="718"/>
      <c r="E74" s="718"/>
      <c r="F74" s="718"/>
      <c r="G74" s="718"/>
      <c r="H74" s="718"/>
      <c r="I74" s="67"/>
    </row>
    <row r="75" spans="1:9" ht="22.5" customHeight="1">
      <c r="A75" s="727"/>
      <c r="B75" s="727"/>
      <c r="C75" s="727"/>
      <c r="D75" s="727"/>
      <c r="E75" s="727"/>
      <c r="F75" s="726" t="s">
        <v>253</v>
      </c>
      <c r="G75" s="726"/>
      <c r="H75" s="726"/>
      <c r="I75" s="67"/>
    </row>
    <row r="76" spans="1:9" ht="24" customHeight="1">
      <c r="A76" s="725"/>
      <c r="B76" s="725"/>
      <c r="C76" s="94" t="s">
        <v>187</v>
      </c>
      <c r="D76" s="95" t="s">
        <v>191</v>
      </c>
      <c r="E76" s="94" t="s">
        <v>190</v>
      </c>
      <c r="F76" s="94" t="s">
        <v>187</v>
      </c>
      <c r="G76" s="95" t="s">
        <v>191</v>
      </c>
      <c r="H76" s="94" t="s">
        <v>190</v>
      </c>
      <c r="I76" s="67"/>
    </row>
    <row r="77" spans="1:9" ht="16.5" customHeight="1">
      <c r="A77" s="100">
        <v>0</v>
      </c>
      <c r="B77" s="78" t="s">
        <v>173</v>
      </c>
      <c r="C77" s="96">
        <v>1</v>
      </c>
      <c r="D77" s="96">
        <v>1</v>
      </c>
      <c r="E77" s="96">
        <v>1</v>
      </c>
      <c r="F77" s="96">
        <v>1</v>
      </c>
      <c r="G77" s="96">
        <v>1</v>
      </c>
      <c r="H77" s="96">
        <v>1</v>
      </c>
      <c r="I77" s="67"/>
    </row>
    <row r="78" spans="1:9" ht="15" customHeight="1">
      <c r="A78" s="101">
        <v>10</v>
      </c>
      <c r="B78" s="78" t="s">
        <v>173</v>
      </c>
      <c r="C78" s="71">
        <v>0.99</v>
      </c>
      <c r="D78" s="71">
        <v>0.99</v>
      </c>
      <c r="E78" s="71">
        <v>1</v>
      </c>
      <c r="F78" s="71">
        <v>0.98</v>
      </c>
      <c r="G78" s="71">
        <v>0.99</v>
      </c>
      <c r="H78" s="71">
        <v>0.99</v>
      </c>
      <c r="I78" s="67"/>
    </row>
    <row r="79" spans="1:9" ht="15" customHeight="1">
      <c r="A79" s="101">
        <v>15</v>
      </c>
      <c r="B79" s="78" t="s">
        <v>173</v>
      </c>
      <c r="C79" s="71">
        <v>0.98</v>
      </c>
      <c r="D79" s="71">
        <v>0.99</v>
      </c>
      <c r="E79" s="71">
        <v>0.99</v>
      </c>
      <c r="F79" s="71">
        <v>0.96</v>
      </c>
      <c r="G79" s="71">
        <v>0.98</v>
      </c>
      <c r="H79" s="71">
        <v>0.99</v>
      </c>
      <c r="I79" s="67"/>
    </row>
    <row r="80" spans="1:9" ht="15" customHeight="1">
      <c r="A80" s="101">
        <v>20</v>
      </c>
      <c r="B80" s="78" t="s">
        <v>173</v>
      </c>
      <c r="C80" s="71">
        <v>0.97</v>
      </c>
      <c r="D80" s="71">
        <v>0.98</v>
      </c>
      <c r="E80" s="71">
        <v>0.99</v>
      </c>
      <c r="F80" s="71">
        <v>0.94</v>
      </c>
      <c r="G80" s="71">
        <v>0.97</v>
      </c>
      <c r="H80" s="71">
        <v>0.98</v>
      </c>
      <c r="I80" s="67"/>
    </row>
    <row r="81" spans="1:9" ht="15" customHeight="1">
      <c r="A81" s="101">
        <v>25</v>
      </c>
      <c r="B81" s="78" t="s">
        <v>173</v>
      </c>
      <c r="C81" s="71">
        <v>0.96</v>
      </c>
      <c r="D81" s="71">
        <v>0.98</v>
      </c>
      <c r="E81" s="71">
        <v>0.99</v>
      </c>
      <c r="F81" s="71">
        <v>0.92</v>
      </c>
      <c r="G81" s="71">
        <v>0.95</v>
      </c>
      <c r="H81" s="71">
        <v>0.97</v>
      </c>
      <c r="I81" s="67"/>
    </row>
    <row r="82" spans="1:9" ht="15" customHeight="1">
      <c r="A82" s="101">
        <v>30</v>
      </c>
      <c r="B82" s="78" t="s">
        <v>173</v>
      </c>
      <c r="C82" s="71">
        <v>0.94</v>
      </c>
      <c r="D82" s="71">
        <v>0.97</v>
      </c>
      <c r="E82" s="71">
        <v>0.98</v>
      </c>
      <c r="F82" s="71">
        <v>0.9</v>
      </c>
      <c r="G82" s="71">
        <v>0.93</v>
      </c>
      <c r="H82" s="71">
        <v>0.96</v>
      </c>
      <c r="I82" s="67"/>
    </row>
    <row r="83" spans="1:9" ht="15" customHeight="1">
      <c r="A83" s="101">
        <v>35</v>
      </c>
      <c r="B83" s="78" t="s">
        <v>173</v>
      </c>
      <c r="C83" s="71">
        <v>0.92</v>
      </c>
      <c r="D83" s="71">
        <v>0.95</v>
      </c>
      <c r="E83" s="71">
        <v>0.98</v>
      </c>
      <c r="F83" s="71">
        <v>0.88</v>
      </c>
      <c r="G83" s="71">
        <v>0.91</v>
      </c>
      <c r="H83" s="71">
        <v>0.94</v>
      </c>
      <c r="I83" s="67"/>
    </row>
    <row r="84" spans="1:9" ht="15" customHeight="1">
      <c r="A84" s="91">
        <v>40</v>
      </c>
      <c r="B84" s="78" t="s">
        <v>173</v>
      </c>
      <c r="C84" s="71">
        <v>0.9</v>
      </c>
      <c r="D84" s="71">
        <v>0.93</v>
      </c>
      <c r="E84" s="71">
        <v>0.97</v>
      </c>
      <c r="F84" s="71">
        <v>0.85</v>
      </c>
      <c r="G84" s="71">
        <v>0.88</v>
      </c>
      <c r="H84" s="71">
        <v>0.92</v>
      </c>
      <c r="I84" s="67"/>
    </row>
    <row r="85" spans="1:9" ht="15" customHeight="1">
      <c r="A85" s="91">
        <v>45</v>
      </c>
      <c r="B85" s="78" t="s">
        <v>173</v>
      </c>
      <c r="C85" s="71">
        <v>0.87</v>
      </c>
      <c r="D85" s="71">
        <v>0.91</v>
      </c>
      <c r="E85" s="71">
        <v>0.95</v>
      </c>
      <c r="F85" s="71">
        <v>0.82</v>
      </c>
      <c r="G85" s="71">
        <v>0.85</v>
      </c>
      <c r="H85" s="71">
        <v>0.9</v>
      </c>
      <c r="I85" s="67"/>
    </row>
    <row r="86" spans="1:9" ht="15" customHeight="1">
      <c r="A86" s="92">
        <v>50</v>
      </c>
      <c r="B86" s="78" t="s">
        <v>173</v>
      </c>
      <c r="C86" s="71">
        <v>0.84</v>
      </c>
      <c r="D86" s="71">
        <v>0.89</v>
      </c>
      <c r="E86" s="71">
        <v>0.93</v>
      </c>
      <c r="F86" s="71">
        <v>0.79</v>
      </c>
      <c r="G86" s="71">
        <v>0.82</v>
      </c>
      <c r="H86" s="71">
        <v>0.87</v>
      </c>
      <c r="I86" s="67"/>
    </row>
    <row r="87" spans="1:9" ht="15" customHeight="1">
      <c r="A87" s="92">
        <v>55</v>
      </c>
      <c r="B87" s="78" t="s">
        <v>173</v>
      </c>
      <c r="C87" s="71">
        <v>0.8</v>
      </c>
      <c r="D87" s="71">
        <v>0.87</v>
      </c>
      <c r="E87" s="71">
        <v>0.9</v>
      </c>
      <c r="F87" s="71">
        <v>0.75</v>
      </c>
      <c r="G87" s="71">
        <v>0.78</v>
      </c>
      <c r="H87" s="71">
        <v>0.83</v>
      </c>
      <c r="I87" s="67"/>
    </row>
    <row r="88" spans="1:9" ht="15" customHeight="1">
      <c r="A88" s="92">
        <v>60</v>
      </c>
      <c r="B88" s="78" t="s">
        <v>173</v>
      </c>
      <c r="C88" s="71">
        <v>0.76</v>
      </c>
      <c r="D88" s="71">
        <v>0.84</v>
      </c>
      <c r="E88" s="71">
        <v>0.86</v>
      </c>
      <c r="F88" s="71">
        <v>0.7</v>
      </c>
      <c r="G88" s="71">
        <v>0.73</v>
      </c>
      <c r="H88" s="71">
        <v>0.78</v>
      </c>
      <c r="I88" s="67"/>
    </row>
    <row r="89" spans="1:9" ht="15" customHeight="1">
      <c r="A89" s="92">
        <v>65</v>
      </c>
      <c r="B89" s="78" t="s">
        <v>173</v>
      </c>
      <c r="C89" s="71">
        <v>0.7</v>
      </c>
      <c r="D89" s="71">
        <v>0.75</v>
      </c>
      <c r="E89" s="71">
        <v>0.8</v>
      </c>
      <c r="F89" s="71">
        <v>0.6</v>
      </c>
      <c r="G89" s="71">
        <v>0.65</v>
      </c>
      <c r="H89" s="71">
        <v>0.7</v>
      </c>
      <c r="I89" s="67"/>
    </row>
    <row r="90" spans="1:9" ht="15" customHeight="1">
      <c r="A90" s="82"/>
      <c r="B90" s="82"/>
      <c r="C90" s="82"/>
      <c r="D90" s="82"/>
      <c r="E90" s="82"/>
      <c r="F90" s="82"/>
      <c r="G90" s="82"/>
      <c r="H90" s="82"/>
      <c r="I90" s="67"/>
    </row>
    <row r="91" spans="1:9" ht="20.25" customHeight="1">
      <c r="A91" s="718" t="s">
        <v>186</v>
      </c>
      <c r="B91" s="718"/>
      <c r="C91" s="718"/>
      <c r="D91" s="718"/>
      <c r="E91" s="718"/>
      <c r="F91" s="718"/>
    </row>
    <row r="92" spans="1:9" ht="18.75" customHeight="1">
      <c r="A92" s="723" t="s">
        <v>527</v>
      </c>
      <c r="B92" s="723"/>
      <c r="C92" s="98" t="s">
        <v>182</v>
      </c>
      <c r="D92" s="98" t="s">
        <v>183</v>
      </c>
      <c r="E92" s="98" t="s">
        <v>184</v>
      </c>
      <c r="F92" s="98" t="s">
        <v>185</v>
      </c>
    </row>
    <row r="93" spans="1:9" ht="18.75" customHeight="1">
      <c r="A93" s="84">
        <v>0</v>
      </c>
      <c r="B93" s="70" t="s">
        <v>173</v>
      </c>
      <c r="C93" s="71">
        <v>1</v>
      </c>
      <c r="D93" s="71">
        <v>1</v>
      </c>
      <c r="E93" s="71">
        <v>1</v>
      </c>
      <c r="F93" s="71">
        <v>1</v>
      </c>
    </row>
    <row r="94" spans="1:9" ht="17.25" customHeight="1">
      <c r="A94" s="84">
        <v>0.1</v>
      </c>
      <c r="B94" s="70" t="s">
        <v>173</v>
      </c>
      <c r="C94" s="71">
        <v>0.96</v>
      </c>
      <c r="D94" s="71">
        <v>0.95</v>
      </c>
      <c r="E94" s="71">
        <v>0.94</v>
      </c>
      <c r="F94" s="71">
        <v>0.93</v>
      </c>
    </row>
    <row r="95" spans="1:9" ht="17.25" customHeight="1">
      <c r="A95" s="84">
        <v>0.2</v>
      </c>
      <c r="B95" s="70" t="s">
        <v>173</v>
      </c>
      <c r="C95" s="71">
        <v>0.92</v>
      </c>
      <c r="D95" s="71">
        <v>0.91</v>
      </c>
      <c r="E95" s="71">
        <v>0.9</v>
      </c>
      <c r="F95" s="71">
        <v>0.88</v>
      </c>
    </row>
    <row r="96" spans="1:9" ht="17.25" customHeight="1">
      <c r="A96" s="84">
        <v>0.3</v>
      </c>
      <c r="B96" s="70" t="s">
        <v>173</v>
      </c>
      <c r="C96" s="71">
        <v>0.88</v>
      </c>
      <c r="D96" s="71">
        <v>0.87</v>
      </c>
      <c r="E96" s="71">
        <v>0.86</v>
      </c>
      <c r="F96" s="71">
        <v>0.83</v>
      </c>
    </row>
    <row r="97" spans="1:11" ht="17.25" customHeight="1">
      <c r="A97" s="84">
        <v>0.4</v>
      </c>
      <c r="B97" s="70" t="s">
        <v>173</v>
      </c>
      <c r="C97" s="71">
        <v>0.85</v>
      </c>
      <c r="D97" s="71">
        <v>0.84</v>
      </c>
      <c r="E97" s="71">
        <v>0.82</v>
      </c>
      <c r="F97" s="71">
        <v>0.78</v>
      </c>
    </row>
    <row r="98" spans="1:11" ht="17.25" customHeight="1">
      <c r="A98" s="84">
        <v>0.5</v>
      </c>
      <c r="B98" s="70" t="s">
        <v>173</v>
      </c>
      <c r="C98" s="71">
        <v>0.82</v>
      </c>
      <c r="D98" s="71">
        <v>0.81</v>
      </c>
      <c r="E98" s="71">
        <v>0.78</v>
      </c>
      <c r="F98" s="71">
        <v>0.73</v>
      </c>
    </row>
    <row r="99" spans="1:11" ht="17.25" customHeight="1">
      <c r="A99" s="84">
        <v>0.6</v>
      </c>
      <c r="B99" s="70" t="s">
        <v>173</v>
      </c>
      <c r="C99" s="71">
        <v>0.79</v>
      </c>
      <c r="D99" s="71">
        <v>0.77</v>
      </c>
      <c r="E99" s="71">
        <v>0.74</v>
      </c>
      <c r="F99" s="71">
        <v>0.68</v>
      </c>
    </row>
    <row r="100" spans="1:11" ht="17.25" customHeight="1">
      <c r="A100" s="84">
        <v>0.7</v>
      </c>
      <c r="B100" s="70" t="s">
        <v>173</v>
      </c>
      <c r="C100" s="71">
        <v>0.76</v>
      </c>
      <c r="D100" s="71">
        <v>0.74</v>
      </c>
      <c r="E100" s="71">
        <v>0.7</v>
      </c>
      <c r="F100" s="71">
        <v>0.63</v>
      </c>
    </row>
    <row r="101" spans="1:11" ht="17.25" customHeight="1">
      <c r="A101" s="84">
        <v>0.8</v>
      </c>
      <c r="B101" s="70" t="s">
        <v>173</v>
      </c>
      <c r="C101" s="71">
        <v>0.73</v>
      </c>
      <c r="D101" s="71">
        <v>0.7</v>
      </c>
      <c r="E101" s="71">
        <v>0.66</v>
      </c>
      <c r="F101" s="71">
        <v>0.57999999999999996</v>
      </c>
    </row>
    <row r="102" spans="1:11" ht="17.25" customHeight="1">
      <c r="A102" s="84">
        <v>0.9</v>
      </c>
      <c r="B102" s="70" t="s">
        <v>173</v>
      </c>
      <c r="C102" s="71">
        <v>0.7</v>
      </c>
      <c r="D102" s="71">
        <v>0.65</v>
      </c>
      <c r="E102" s="71">
        <v>0.6</v>
      </c>
      <c r="F102" s="71">
        <v>0.53</v>
      </c>
    </row>
    <row r="103" spans="1:11" ht="12" customHeight="1"/>
    <row r="104" spans="1:11" ht="20.25" customHeight="1">
      <c r="A104" s="718" t="s">
        <v>271</v>
      </c>
      <c r="B104" s="718"/>
      <c r="C104" s="718"/>
      <c r="D104" s="718"/>
      <c r="E104" s="719"/>
      <c r="F104" s="719"/>
    </row>
    <row r="105" spans="1:11" s="139" customFormat="1" ht="21" customHeight="1">
      <c r="A105" s="720" t="s">
        <v>272</v>
      </c>
      <c r="B105" s="721"/>
      <c r="C105" s="720" t="s">
        <v>273</v>
      </c>
      <c r="D105" s="721"/>
      <c r="E105" s="720" t="s">
        <v>274</v>
      </c>
      <c r="F105" s="722"/>
      <c r="G105" s="722"/>
      <c r="H105" s="721"/>
      <c r="I105" s="720" t="s">
        <v>275</v>
      </c>
      <c r="J105" s="722"/>
      <c r="K105" s="721"/>
    </row>
    <row r="106" spans="1:11" s="139" customFormat="1" ht="17.25" customHeight="1">
      <c r="A106" s="737" t="s">
        <v>276</v>
      </c>
      <c r="B106" s="738"/>
      <c r="C106" s="329">
        <v>0</v>
      </c>
      <c r="D106" s="140">
        <v>700</v>
      </c>
      <c r="E106" s="140">
        <v>0</v>
      </c>
      <c r="F106" s="140">
        <v>300</v>
      </c>
      <c r="G106" s="140">
        <v>400</v>
      </c>
      <c r="H106" s="329">
        <v>500</v>
      </c>
      <c r="I106" s="330">
        <v>0</v>
      </c>
      <c r="J106" s="330">
        <v>200</v>
      </c>
      <c r="K106" s="331">
        <v>300</v>
      </c>
    </row>
    <row r="107" spans="1:11" s="139" customFormat="1" ht="17.25" customHeight="1">
      <c r="A107" s="84">
        <v>0</v>
      </c>
      <c r="B107" s="70" t="s">
        <v>173</v>
      </c>
      <c r="C107" s="148">
        <v>0.88</v>
      </c>
      <c r="D107" s="71">
        <v>0.85</v>
      </c>
      <c r="E107" s="71">
        <v>0.97</v>
      </c>
      <c r="F107" s="71">
        <v>0.94</v>
      </c>
      <c r="G107" s="71">
        <v>0.91</v>
      </c>
      <c r="H107" s="148">
        <v>0.88</v>
      </c>
      <c r="I107" s="71">
        <v>0.99</v>
      </c>
      <c r="J107" s="71">
        <v>0.97</v>
      </c>
      <c r="K107" s="148">
        <v>0.94</v>
      </c>
    </row>
    <row r="108" spans="1:11" s="139" customFormat="1" ht="17.25" customHeight="1">
      <c r="A108" s="84">
        <v>0.3</v>
      </c>
      <c r="B108" s="70" t="s">
        <v>173</v>
      </c>
      <c r="C108" s="148">
        <v>0.76</v>
      </c>
      <c r="D108" s="71">
        <v>0.7</v>
      </c>
      <c r="E108" s="71">
        <v>0.94</v>
      </c>
      <c r="F108" s="71">
        <v>0.88</v>
      </c>
      <c r="G108" s="71">
        <v>0.82</v>
      </c>
      <c r="H108" s="148">
        <v>0.76</v>
      </c>
      <c r="I108" s="71">
        <v>0.98</v>
      </c>
      <c r="J108" s="71">
        <v>0.94</v>
      </c>
      <c r="K108" s="148">
        <v>0.88</v>
      </c>
    </row>
    <row r="109" spans="1:11" s="139" customFormat="1" ht="17.25" customHeight="1">
      <c r="A109" s="84">
        <v>0.6</v>
      </c>
      <c r="B109" s="70" t="s">
        <v>173</v>
      </c>
      <c r="C109" s="148">
        <v>0.6</v>
      </c>
      <c r="D109" s="71">
        <v>0.5</v>
      </c>
      <c r="E109" s="71">
        <v>0.9</v>
      </c>
      <c r="F109" s="71">
        <v>0.8</v>
      </c>
      <c r="G109" s="71">
        <v>0.7</v>
      </c>
      <c r="H109" s="148">
        <v>0.6</v>
      </c>
      <c r="I109" s="71">
        <v>0.97</v>
      </c>
      <c r="J109" s="71">
        <v>0.9</v>
      </c>
      <c r="K109" s="148">
        <v>0.8</v>
      </c>
    </row>
    <row r="110" spans="1:11" ht="17.25" customHeight="1">
      <c r="A110" s="733" t="s">
        <v>599</v>
      </c>
      <c r="B110" s="733"/>
      <c r="C110" s="733"/>
      <c r="D110" s="733"/>
      <c r="E110" s="733"/>
    </row>
    <row r="111" spans="1:11" ht="13.5">
      <c r="A111" s="97"/>
    </row>
    <row r="112" spans="1:11" ht="20.25" customHeight="1">
      <c r="A112" s="718" t="s">
        <v>346</v>
      </c>
      <c r="B112" s="718"/>
      <c r="C112" s="718"/>
      <c r="D112" s="718"/>
      <c r="E112" s="718"/>
      <c r="F112" s="718"/>
    </row>
    <row r="113" spans="1:9" ht="20.25" customHeight="1">
      <c r="A113" s="739" t="s">
        <v>347</v>
      </c>
      <c r="B113" s="740"/>
      <c r="C113" s="741" t="s">
        <v>339</v>
      </c>
      <c r="D113" s="741"/>
      <c r="E113" s="741" t="s">
        <v>341</v>
      </c>
      <c r="F113" s="741"/>
    </row>
    <row r="114" spans="1:9" ht="18.75" customHeight="1">
      <c r="A114" s="742" t="s">
        <v>348</v>
      </c>
      <c r="B114" s="742"/>
      <c r="C114" s="323" t="s">
        <v>349</v>
      </c>
      <c r="D114" s="323" t="s">
        <v>350</v>
      </c>
      <c r="E114" s="323" t="s">
        <v>349</v>
      </c>
      <c r="F114" s="323" t="s">
        <v>351</v>
      </c>
    </row>
    <row r="115" spans="1:9" ht="17.25" customHeight="1">
      <c r="A115" s="324">
        <v>500</v>
      </c>
      <c r="B115" s="325" t="s">
        <v>173</v>
      </c>
      <c r="C115" s="183">
        <v>0.95</v>
      </c>
      <c r="D115" s="326">
        <v>25</v>
      </c>
      <c r="E115" s="327"/>
      <c r="F115" s="327"/>
    </row>
    <row r="116" spans="1:9" ht="17.25" customHeight="1">
      <c r="A116" s="328">
        <v>1000</v>
      </c>
      <c r="B116" s="325" t="s">
        <v>173</v>
      </c>
      <c r="C116" s="183">
        <v>0.9</v>
      </c>
      <c r="D116" s="326">
        <v>75</v>
      </c>
      <c r="E116" s="183">
        <v>0.9</v>
      </c>
      <c r="F116" s="326">
        <v>100</v>
      </c>
    </row>
    <row r="117" spans="1:9" ht="17.25" customHeight="1">
      <c r="A117" s="328">
        <v>3000</v>
      </c>
      <c r="B117" s="325" t="s">
        <v>173</v>
      </c>
      <c r="C117" s="183">
        <v>0.85</v>
      </c>
      <c r="D117" s="326">
        <v>225</v>
      </c>
      <c r="E117" s="183">
        <v>0.85</v>
      </c>
      <c r="F117" s="326">
        <v>250</v>
      </c>
    </row>
    <row r="118" spans="1:9" ht="17.25" customHeight="1">
      <c r="A118" s="328">
        <v>5000</v>
      </c>
      <c r="B118" s="325" t="s">
        <v>173</v>
      </c>
      <c r="C118" s="183">
        <v>0.8</v>
      </c>
      <c r="D118" s="326">
        <v>475</v>
      </c>
      <c r="E118" s="183">
        <v>0.8</v>
      </c>
      <c r="F118" s="326">
        <v>500</v>
      </c>
    </row>
    <row r="120" spans="1:9" ht="20.25" customHeight="1">
      <c r="A120" s="719" t="s">
        <v>525</v>
      </c>
      <c r="B120" s="719"/>
      <c r="C120" s="719"/>
      <c r="D120" s="719"/>
      <c r="E120" s="719"/>
      <c r="F120" s="303"/>
    </row>
    <row r="121" spans="1:9" ht="18.75" customHeight="1">
      <c r="A121" s="734" t="s">
        <v>526</v>
      </c>
      <c r="B121" s="735"/>
      <c r="C121" s="304" t="s">
        <v>528</v>
      </c>
      <c r="D121" s="302"/>
      <c r="E121" s="302"/>
      <c r="F121" s="302"/>
      <c r="G121" s="67"/>
      <c r="H121" s="67"/>
      <c r="I121" s="67"/>
    </row>
    <row r="122" spans="1:9" ht="18.75" customHeight="1">
      <c r="A122" s="305">
        <v>0</v>
      </c>
      <c r="B122" s="306" t="s">
        <v>173</v>
      </c>
      <c r="C122" s="307">
        <v>1</v>
      </c>
      <c r="G122" s="67"/>
      <c r="H122" s="67"/>
      <c r="I122" s="67"/>
    </row>
    <row r="123" spans="1:9" ht="18.75" customHeight="1">
      <c r="A123" s="305">
        <v>0.1</v>
      </c>
      <c r="B123" s="306" t="s">
        <v>173</v>
      </c>
      <c r="C123" s="307">
        <v>0.9</v>
      </c>
      <c r="G123" s="67"/>
      <c r="H123" s="67"/>
      <c r="I123" s="67"/>
    </row>
    <row r="124" spans="1:9" ht="18.75" customHeight="1">
      <c r="A124" s="305">
        <v>0.4</v>
      </c>
      <c r="B124" s="306" t="s">
        <v>173</v>
      </c>
      <c r="C124" s="307">
        <v>0.8</v>
      </c>
      <c r="G124" s="67"/>
      <c r="H124" s="67"/>
      <c r="I124" s="67"/>
    </row>
    <row r="125" spans="1:9" ht="18.75" customHeight="1">
      <c r="A125" s="305">
        <v>0.7</v>
      </c>
      <c r="B125" s="306" t="s">
        <v>173</v>
      </c>
      <c r="C125" s="307">
        <v>0.7</v>
      </c>
      <c r="D125" s="308"/>
    </row>
    <row r="126" spans="1:9" ht="17.25" customHeight="1">
      <c r="A126" s="736" t="s">
        <v>598</v>
      </c>
      <c r="B126" s="736"/>
      <c r="C126" s="736"/>
      <c r="D126" s="736"/>
      <c r="E126" s="736"/>
    </row>
  </sheetData>
  <sheetProtection algorithmName="SHA-512" hashValue="7wxIppMFPuRzNMckl2byId3n3Qa75lsxC6grDbplHnNeMfAZAecK8HkF+CP+omWnsmg/JPWAHfBxL/8NJhl5ug==" saltValue="u/4P3lJLZfqSKikjEy4dpA==" spinCount="100000" sheet="1" objects="1" scenarios="1"/>
  <mergeCells count="33">
    <mergeCell ref="I105:K105"/>
    <mergeCell ref="A110:E110"/>
    <mergeCell ref="A121:B121"/>
    <mergeCell ref="A120:E120"/>
    <mergeCell ref="A126:E126"/>
    <mergeCell ref="A106:B106"/>
    <mergeCell ref="A113:B113"/>
    <mergeCell ref="C113:D113"/>
    <mergeCell ref="E113:F113"/>
    <mergeCell ref="A114:B114"/>
    <mergeCell ref="A2:B2"/>
    <mergeCell ref="A1:I1"/>
    <mergeCell ref="A33:I33"/>
    <mergeCell ref="A39:I39"/>
    <mergeCell ref="A75:B75"/>
    <mergeCell ref="A74:H74"/>
    <mergeCell ref="A34:B34"/>
    <mergeCell ref="A40:B40"/>
    <mergeCell ref="A51:B51"/>
    <mergeCell ref="A50:I50"/>
    <mergeCell ref="F32:I32"/>
    <mergeCell ref="A92:B92"/>
    <mergeCell ref="A91:F91"/>
    <mergeCell ref="A61:I61"/>
    <mergeCell ref="A62:B62"/>
    <mergeCell ref="A76:B76"/>
    <mergeCell ref="F75:H75"/>
    <mergeCell ref="C75:E75"/>
    <mergeCell ref="A104:F104"/>
    <mergeCell ref="A105:B105"/>
    <mergeCell ref="C105:D105"/>
    <mergeCell ref="E105:H105"/>
    <mergeCell ref="A112:F11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42</vt:i4>
      </vt:variant>
    </vt:vector>
  </HeadingPairs>
  <TitlesOfParts>
    <vt:vector size="46" baseType="lpstr">
      <vt:lpstr>使用方法・注意事項等</vt:lpstr>
      <vt:lpstr>土地の評価明細書１</vt:lpstr>
      <vt:lpstr>土地の評価明細書２</vt:lpstr>
      <vt:lpstr>補正率表</vt:lpstr>
      <vt:lpstr>使用方法・注意事項等!Print_Area</vt:lpstr>
      <vt:lpstr>土地の評価明細書１!Print_Area</vt:lpstr>
      <vt:lpstr>土地の評価明細書２!Print_Area</vt:lpstr>
      <vt:lpstr>かげ地割合</vt:lpstr>
      <vt:lpstr>奥行距離</vt:lpstr>
      <vt:lpstr>価額Ａ</vt:lpstr>
      <vt:lpstr>価額Ｂ</vt:lpstr>
      <vt:lpstr>価額Ｃ</vt:lpstr>
      <vt:lpstr>価額Ｄ</vt:lpstr>
      <vt:lpstr>価額Ｅ</vt:lpstr>
      <vt:lpstr>価額Ｆ</vt:lpstr>
      <vt:lpstr>価額G</vt:lpstr>
      <vt:lpstr>価額H</vt:lpstr>
      <vt:lpstr>価額I</vt:lpstr>
      <vt:lpstr>価額Ｊ</vt:lpstr>
      <vt:lpstr>価額Ｋ</vt:lpstr>
      <vt:lpstr>価額Ｌ</vt:lpstr>
      <vt:lpstr>価額Ｍ</vt:lpstr>
      <vt:lpstr>価額Ｎ</vt:lpstr>
      <vt:lpstr>価額Ｏ</vt:lpstr>
      <vt:lpstr>価額Ｐ</vt:lpstr>
      <vt:lpstr>価額Ｒ</vt:lpstr>
      <vt:lpstr>価額Ｓ</vt:lpstr>
      <vt:lpstr>価額Ｕ</vt:lpstr>
      <vt:lpstr>価額Ｖ</vt:lpstr>
      <vt:lpstr>価額Ｗ</vt:lpstr>
      <vt:lpstr>価額Ｘ</vt:lpstr>
      <vt:lpstr>価額Ｙ</vt:lpstr>
      <vt:lpstr>価額Ｚ</vt:lpstr>
      <vt:lpstr>間口距離</vt:lpstr>
      <vt:lpstr>正面路線価</vt:lpstr>
      <vt:lpstr>側方１準角地</vt:lpstr>
      <vt:lpstr>側方２準角地</vt:lpstr>
      <vt:lpstr>側方路線価１</vt:lpstr>
      <vt:lpstr>側方路線価２</vt:lpstr>
      <vt:lpstr>地区区分</vt:lpstr>
      <vt:lpstr>都計地積割合</vt:lpstr>
      <vt:lpstr>都計道路地積</vt:lpstr>
      <vt:lpstr>不整形地区分</vt:lpstr>
      <vt:lpstr>容積率</vt:lpstr>
      <vt:lpstr>利用区分</vt:lpstr>
      <vt:lpstr>裏面路線価</vt:lpstr>
    </vt:vector>
  </TitlesOfParts>
  <Company>岩下税理士事務所</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今村　圭一</dc:creator>
  <cp:lastModifiedBy>今村圭一</cp:lastModifiedBy>
  <cp:lastPrinted>2019-08-22T03:10:13Z</cp:lastPrinted>
  <dcterms:created xsi:type="dcterms:W3CDTF">2006-11-30T15:00:00Z</dcterms:created>
  <dcterms:modified xsi:type="dcterms:W3CDTF">2021-07-06T22:32:28Z</dcterms:modified>
</cp:coreProperties>
</file>